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drawings/drawing40.xml" ContentType="application/vnd.openxmlformats-officedocument.drawing+xml"/>
  <Override PartName="/xl/drawings/drawing41.xml" ContentType="application/vnd.openxmlformats-officedocument.drawing+xml"/>
  <Override PartName="/xl/drawings/drawing42.xml" ContentType="application/vnd.openxmlformats-officedocument.drawing+xml"/>
  <Override PartName="/xl/drawings/drawing43.xml" ContentType="application/vnd.openxmlformats-officedocument.drawing+xml"/>
  <Override PartName="/xl/drawings/drawing44.xml" ContentType="application/vnd.openxmlformats-officedocument.drawing+xml"/>
  <Override PartName="/xl/drawings/drawing45.xml" ContentType="application/vnd.openxmlformats-officedocument.drawing+xml"/>
  <Override PartName="/xl/drawings/drawing4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C:\Users\mjbp\Downloads\"/>
    </mc:Choice>
  </mc:AlternateContent>
  <xr:revisionPtr revIDLastSave="0" documentId="8_{8B1D6221-E819-4295-8BE7-42767F68F905}" xr6:coauthVersionLast="47" xr6:coauthVersionMax="47" xr10:uidLastSave="{00000000-0000-0000-0000-000000000000}"/>
  <bookViews>
    <workbookView xWindow="-120" yWindow="-120" windowWidth="29040" windowHeight="15720" firstSheet="1" activeTab="1" xr2:uid="{1EE37415-7964-49DF-932D-B9866E1755CC}"/>
  </bookViews>
  <sheets>
    <sheet name="COWIauto" sheetId="34" state="veryHidden" r:id=""/>
    <sheet name="Forside" sheetId="91" r:id="rId1"/>
    <sheet name="Skabelon" sheetId="155" state="hidden" r:id="rId2"/>
    <sheet name="Prioritering" sheetId="6" r:id="rId3"/>
    <sheet name="Enhedspriser" sheetId="225" r:id="rId4"/>
    <sheet name="1" sheetId="226" r:id="rId5"/>
    <sheet name="2" sheetId="227" r:id="rId6"/>
    <sheet name="3" sheetId="228" r:id="rId7"/>
    <sheet name="5" sheetId="231" r:id="rId8"/>
    <sheet name="6" sheetId="232" r:id="rId9"/>
    <sheet name="7" sheetId="233" r:id="rId10"/>
    <sheet name="8" sheetId="234" r:id="rId11"/>
    <sheet name="9" sheetId="235" r:id="rId12"/>
    <sheet name="10" sheetId="236" r:id="rId13"/>
    <sheet name="11" sheetId="237" r:id="rId14"/>
    <sheet name="13" sheetId="238" r:id="rId15"/>
    <sheet name="14" sheetId="239" r:id="rId16"/>
    <sheet name="15" sheetId="240" r:id="rId17"/>
    <sheet name="16" sheetId="241" r:id="rId18"/>
    <sheet name="17" sheetId="242" r:id="rId19"/>
    <sheet name="18" sheetId="243" r:id="rId20"/>
    <sheet name="19" sheetId="244" r:id="rId21"/>
    <sheet name="20" sheetId="245" r:id="rId22"/>
    <sheet name="21" sheetId="246" r:id="rId23"/>
    <sheet name="22" sheetId="247" r:id="rId24"/>
    <sheet name="23" sheetId="248" r:id="rId25"/>
    <sheet name="24" sheetId="249" r:id="rId26"/>
    <sheet name="25" sheetId="250" r:id="rId27"/>
    <sheet name="26" sheetId="251" r:id="rId28"/>
    <sheet name="27" sheetId="252" r:id="rId29"/>
    <sheet name="28" sheetId="253" r:id="rId30"/>
    <sheet name="29" sheetId="254" r:id="rId31"/>
    <sheet name="30" sheetId="255" r:id="rId32"/>
    <sheet name="31" sheetId="256" r:id="rId33"/>
    <sheet name="32" sheetId="257" r:id="rId34"/>
    <sheet name="33" sheetId="258" r:id="rId35"/>
    <sheet name="34" sheetId="259" r:id="rId36"/>
    <sheet name="37" sheetId="260" r:id="rId37"/>
    <sheet name="38" sheetId="261" r:id="rId38"/>
    <sheet name="39" sheetId="262" r:id="rId39"/>
    <sheet name="41" sheetId="264" r:id="rId40"/>
    <sheet name="42" sheetId="265" r:id="rId41"/>
    <sheet name="43" sheetId="266" r:id="rId42"/>
    <sheet name="44" sheetId="267" r:id="rId43"/>
    <sheet name="45" sheetId="268" r:id="rId44"/>
    <sheet name="46" sheetId="269" r:id="rId45"/>
    <sheet name="49" sheetId="271" r:id="rId46"/>
    <sheet name="50" sheetId="272" r:id="rId47"/>
    <sheet name="51" sheetId="273" r:id="rId48"/>
    <sheet name="52" sheetId="274" r:id="rId49"/>
    <sheet name="53" sheetId="275" r:id="rId50"/>
    <sheet name="54" sheetId="276" r:id="rId51"/>
    <sheet name="55" sheetId="277" r:id="rId52"/>
    <sheet name="Ark1" sheetId="278" r:id="rId53"/>
  </sheets>
  <definedNames>
    <definedName name="_xlnm._FilterDatabase" localSheetId="1" hidden="1">Forside!$AL$17:$AQ$169</definedName>
    <definedName name="cykelsti" localSheetId="5">'1'!$A$88:$A$90</definedName>
    <definedName name="cykelsti" localSheetId="13">'10'!$A$88:$A$90</definedName>
    <definedName name="cykelsti" localSheetId="14">'11'!$A$88:$A$90</definedName>
    <definedName name="cykelsti" localSheetId="15">'13'!$A$88:$A$90</definedName>
    <definedName name="cykelsti" localSheetId="16">'14'!$A$88:$A$90</definedName>
    <definedName name="cykelsti" localSheetId="17">'15'!$A$88:$A$90</definedName>
    <definedName name="cykelsti" localSheetId="18">'16'!$A$88:$A$90</definedName>
    <definedName name="cykelsti" localSheetId="19">'17'!$A$88:$A$90</definedName>
    <definedName name="cykelsti" localSheetId="20">'18'!$A$88:$A$90</definedName>
    <definedName name="cykelsti" localSheetId="21">'19'!$A$88:$A$90</definedName>
    <definedName name="cykelsti" localSheetId="6">'2'!$A$88:$A$90</definedName>
    <definedName name="cykelsti" localSheetId="22">'20'!$A$88:$A$90</definedName>
    <definedName name="cykelsti" localSheetId="23">'21'!$A$88:$A$90</definedName>
    <definedName name="cykelsti" localSheetId="24">'22'!$A$88:$A$90</definedName>
    <definedName name="cykelsti" localSheetId="25">'23'!$A$88:$A$90</definedName>
    <definedName name="cykelsti" localSheetId="26">'24'!$A$88:$A$90</definedName>
    <definedName name="cykelsti" localSheetId="27">'25'!$A$88:$A$90</definedName>
    <definedName name="cykelsti" localSheetId="28">'26'!$A$88:$A$90</definedName>
    <definedName name="cykelsti" localSheetId="29">'27'!$A$88:$A$90</definedName>
    <definedName name="cykelsti" localSheetId="30">'28'!$A$88:$A$90</definedName>
    <definedName name="cykelsti" localSheetId="31">'29'!$A$88:$A$90</definedName>
    <definedName name="cykelsti" localSheetId="7">'3'!$A$88:$A$90</definedName>
    <definedName name="cykelsti" localSheetId="32">'30'!$A$88:$A$90</definedName>
    <definedName name="cykelsti" localSheetId="33">'31'!$A$88:$A$90</definedName>
    <definedName name="cykelsti" localSheetId="34">'32'!$A$88:$A$90</definedName>
    <definedName name="cykelsti" localSheetId="35">'33'!$A$88:$A$90</definedName>
    <definedName name="cykelsti" localSheetId="36">'34'!$A$88:$A$90</definedName>
    <definedName name="cykelsti" localSheetId="37">'37'!$A$88:$A$90</definedName>
    <definedName name="cykelsti" localSheetId="38">'38'!$A$88:$A$90</definedName>
    <definedName name="cykelsti" localSheetId="39">'39'!$A$88:$A$90</definedName>
    <definedName name="cykelsti" localSheetId="40">'41'!$A$88:$A$90</definedName>
    <definedName name="cykelsti" localSheetId="41">'42'!$A$88:$A$90</definedName>
    <definedName name="cykelsti" localSheetId="42">'43'!$A$88:$A$90</definedName>
    <definedName name="cykelsti" localSheetId="43">'44'!$A$88:$A$90</definedName>
    <definedName name="cykelsti" localSheetId="44">'45'!$A$88:$A$90</definedName>
    <definedName name="cykelsti" localSheetId="45">'46'!$A$88:$A$90</definedName>
    <definedName name="cykelsti" localSheetId="46">'49'!$A$88:$A$90</definedName>
    <definedName name="cykelsti" localSheetId="8">'5'!$A$88:$A$90</definedName>
    <definedName name="cykelsti" localSheetId="47">'50'!$A$88:$A$90</definedName>
    <definedName name="cykelsti" localSheetId="48">'51'!$A$88:$A$90</definedName>
    <definedName name="cykelsti" localSheetId="49">'52'!$A$88:$A$90</definedName>
    <definedName name="cykelsti" localSheetId="50">'53'!$A$88:$A$90</definedName>
    <definedName name="cykelsti" localSheetId="51">'54'!$A$88:$A$90</definedName>
    <definedName name="cykelsti" localSheetId="52">'55'!$A$88:$A$90</definedName>
    <definedName name="cykelsti" localSheetId="9">'6'!$A$88:$A$90</definedName>
    <definedName name="cykelsti" localSheetId="10">'7'!$A$88:$A$90</definedName>
    <definedName name="cykelsti" localSheetId="11">'8'!$A$88:$A$90</definedName>
    <definedName name="cykelsti" localSheetId="12">'9'!$A$88:$A$90</definedName>
    <definedName name="cykelsti" localSheetId="2">Skabelon!$A$88:$A$90</definedName>
    <definedName name="cykelsti">#REF!</definedName>
    <definedName name="JaNej" localSheetId="5">'1'!$A$63:$A$64</definedName>
    <definedName name="JaNej" localSheetId="13">'10'!$A$63:$A$64</definedName>
    <definedName name="JaNej" localSheetId="14">'11'!$A$63:$A$64</definedName>
    <definedName name="JaNej" localSheetId="15">'13'!$A$63:$A$64</definedName>
    <definedName name="JaNej" localSheetId="16">'14'!$A$63:$A$64</definedName>
    <definedName name="JaNej" localSheetId="17">'15'!$A$63:$A$64</definedName>
    <definedName name="JaNej" localSheetId="18">'16'!$A$63:$A$64</definedName>
    <definedName name="JaNej" localSheetId="19">'17'!$A$63:$A$64</definedName>
    <definedName name="JaNej" localSheetId="20">'18'!$A$63:$A$64</definedName>
    <definedName name="JaNej" localSheetId="21">'19'!$A$63:$A$64</definedName>
    <definedName name="JaNej" localSheetId="6">'2'!$A$63:$A$64</definedName>
    <definedName name="JaNej" localSheetId="22">'20'!$A$63:$A$64</definedName>
    <definedName name="JaNej" localSheetId="23">'21'!$A$63:$A$64</definedName>
    <definedName name="JaNej" localSheetId="24">'22'!$A$63:$A$64</definedName>
    <definedName name="JaNej" localSheetId="25">'23'!$A$63:$A$64</definedName>
    <definedName name="JaNej" localSheetId="26">'24'!$A$63:$A$64</definedName>
    <definedName name="JaNej" localSheetId="27">'25'!$A$63:$A$64</definedName>
    <definedName name="JaNej" localSheetId="28">'26'!$A$63:$A$64</definedName>
    <definedName name="JaNej" localSheetId="29">'27'!$A$63:$A$64</definedName>
    <definedName name="JaNej" localSheetId="30">'28'!$A$63:$A$64</definedName>
    <definedName name="JaNej" localSheetId="31">'29'!$A$63:$A$64</definedName>
    <definedName name="JaNej" localSheetId="7">'3'!$A$63:$A$64</definedName>
    <definedName name="JaNej" localSheetId="32">'30'!$A$63:$A$64</definedName>
    <definedName name="JaNej" localSheetId="33">'31'!$A$63:$A$64</definedName>
    <definedName name="JaNej" localSheetId="34">'32'!$A$63:$A$64</definedName>
    <definedName name="JaNej" localSheetId="35">'33'!$A$63:$A$64</definedName>
    <definedName name="JaNej" localSheetId="36">'34'!$A$63:$A$64</definedName>
    <definedName name="JaNej" localSheetId="37">'37'!$A$63:$A$64</definedName>
    <definedName name="JaNej" localSheetId="38">'38'!$A$63:$A$64</definedName>
    <definedName name="JaNej" localSheetId="39">'39'!$A$63:$A$64</definedName>
    <definedName name="JaNej" localSheetId="40">'41'!$A$63:$A$64</definedName>
    <definedName name="JaNej" localSheetId="41">'42'!$A$63:$A$64</definedName>
    <definedName name="JaNej" localSheetId="42">'43'!$A$63:$A$64</definedName>
    <definedName name="JaNej" localSheetId="43">'44'!$A$63:$A$64</definedName>
    <definedName name="JaNej" localSheetId="44">'45'!$A$63:$A$64</definedName>
    <definedName name="JaNej" localSheetId="45">'46'!$A$63:$A$64</definedName>
    <definedName name="JaNej" localSheetId="46">'49'!$A$63:$A$64</definedName>
    <definedName name="JaNej" localSheetId="8">'5'!$A$63:$A$64</definedName>
    <definedName name="JaNej" localSheetId="47">'50'!$A$63:$A$64</definedName>
    <definedName name="JaNej" localSheetId="48">'51'!$A$63:$A$64</definedName>
    <definedName name="JaNej" localSheetId="49">'52'!$A$63:$A$64</definedName>
    <definedName name="JaNej" localSheetId="50">'53'!$A$63:$A$64</definedName>
    <definedName name="JaNej" localSheetId="51">'54'!$A$63:$A$64</definedName>
    <definedName name="JaNej" localSheetId="52">'55'!$A$63:$A$64</definedName>
    <definedName name="JaNej" localSheetId="9">'6'!$A$63:$A$64</definedName>
    <definedName name="JaNej" localSheetId="10">'7'!$A$63:$A$64</definedName>
    <definedName name="JaNej" localSheetId="11">'8'!$A$63:$A$64</definedName>
    <definedName name="JaNej" localSheetId="12">'9'!$A$63:$A$64</definedName>
    <definedName name="JaNej" localSheetId="2">Skabelon!$A$63:$A$64</definedName>
    <definedName name="JaNej">#REF!</definedName>
    <definedName name="Karakter" localSheetId="5">'1'!$D$63:$D$73</definedName>
    <definedName name="Karakter" localSheetId="13">'10'!$D$63:$D$73</definedName>
    <definedName name="Karakter" localSheetId="14">'11'!$D$63:$D$73</definedName>
    <definedName name="Karakter" localSheetId="15">'13'!$D$63:$D$73</definedName>
    <definedName name="Karakter" localSheetId="16">'14'!$D$63:$D$73</definedName>
    <definedName name="Karakter" localSheetId="17">'15'!$D$63:$D$73</definedName>
    <definedName name="Karakter" localSheetId="18">'16'!$D$63:$D$73</definedName>
    <definedName name="Karakter" localSheetId="19">'17'!$D$63:$D$73</definedName>
    <definedName name="Karakter" localSheetId="20">'18'!$D$63:$D$73</definedName>
    <definedName name="Karakter" localSheetId="21">'19'!$D$63:$D$73</definedName>
    <definedName name="Karakter" localSheetId="6">'2'!$D$63:$D$73</definedName>
    <definedName name="Karakter" localSheetId="22">'20'!$D$63:$D$73</definedName>
    <definedName name="Karakter" localSheetId="23">'21'!$D$63:$D$73</definedName>
    <definedName name="Karakter" localSheetId="24">'22'!$D$63:$D$73</definedName>
    <definedName name="Karakter" localSheetId="25">'23'!$D$63:$D$73</definedName>
    <definedName name="Karakter" localSheetId="26">'24'!$D$63:$D$73</definedName>
    <definedName name="Karakter" localSheetId="27">'25'!$D$63:$D$73</definedName>
    <definedName name="Karakter" localSheetId="28">'26'!$D$63:$D$73</definedName>
    <definedName name="Karakter" localSheetId="29">'27'!$D$63:$D$73</definedName>
    <definedName name="Karakter" localSheetId="30">'28'!$D$63:$D$73</definedName>
    <definedName name="Karakter" localSheetId="31">'29'!$D$63:$D$73</definedName>
    <definedName name="Karakter" localSheetId="7">'3'!$D$63:$D$73</definedName>
    <definedName name="Karakter" localSheetId="32">'30'!$D$63:$D$73</definedName>
    <definedName name="Karakter" localSheetId="33">'31'!$D$63:$D$73</definedName>
    <definedName name="Karakter" localSheetId="34">'32'!$D$63:$D$73</definedName>
    <definedName name="Karakter" localSheetId="35">'33'!$D$63:$D$73</definedName>
    <definedName name="Karakter" localSheetId="36">'34'!$D$63:$D$73</definedName>
    <definedName name="Karakter" localSheetId="37">'37'!$D$63:$D$73</definedName>
    <definedName name="Karakter" localSheetId="38">'38'!$D$63:$D$73</definedName>
    <definedName name="Karakter" localSheetId="39">'39'!$D$63:$D$73</definedName>
    <definedName name="Karakter" localSheetId="40">'41'!$D$63:$D$73</definedName>
    <definedName name="Karakter" localSheetId="41">'42'!$D$63:$D$73</definedName>
    <definedName name="Karakter" localSheetId="42">'43'!$D$63:$D$73</definedName>
    <definedName name="Karakter" localSheetId="43">'44'!$D$63:$D$73</definedName>
    <definedName name="Karakter" localSheetId="44">'45'!$D$63:$D$73</definedName>
    <definedName name="Karakter" localSheetId="45">'46'!$D$63:$D$73</definedName>
    <definedName name="Karakter" localSheetId="46">'49'!$D$63:$D$73</definedName>
    <definedName name="Karakter" localSheetId="8">'5'!$D$63:$D$73</definedName>
    <definedName name="Karakter" localSheetId="47">'50'!$D$63:$D$73</definedName>
    <definedName name="Karakter" localSheetId="48">'51'!$D$63:$D$73</definedName>
    <definedName name="Karakter" localSheetId="49">'52'!$D$63:$D$73</definedName>
    <definedName name="Karakter" localSheetId="50">'53'!$D$63:$D$73</definedName>
    <definedName name="Karakter" localSheetId="51">'54'!$D$63:$D$73</definedName>
    <definedName name="Karakter" localSheetId="52">'55'!$D$63:$D$73</definedName>
    <definedName name="Karakter" localSheetId="9">'6'!$D$63:$D$73</definedName>
    <definedName name="Karakter" localSheetId="10">'7'!$D$63:$D$73</definedName>
    <definedName name="Karakter" localSheetId="11">'8'!$D$63:$D$73</definedName>
    <definedName name="Karakter" localSheetId="12">'9'!$D$63:$D$73</definedName>
    <definedName name="Karakter" localSheetId="2">Skabelon!$D$63:$D$73</definedName>
    <definedName name="Karakter">#REF!</definedName>
    <definedName name="Kryds" localSheetId="5">#REF!</definedName>
    <definedName name="Kryds" localSheetId="13">#REF!</definedName>
    <definedName name="Kryds" localSheetId="14">#REF!</definedName>
    <definedName name="Kryds" localSheetId="15">#REF!</definedName>
    <definedName name="Kryds" localSheetId="16">#REF!</definedName>
    <definedName name="Kryds" localSheetId="17">#REF!</definedName>
    <definedName name="Kryds" localSheetId="18">#REF!</definedName>
    <definedName name="Kryds" localSheetId="19">#REF!</definedName>
    <definedName name="Kryds" localSheetId="20">#REF!</definedName>
    <definedName name="Kryds" localSheetId="21">#REF!</definedName>
    <definedName name="Kryds" localSheetId="6">#REF!</definedName>
    <definedName name="Kryds" localSheetId="22">#REF!</definedName>
    <definedName name="Kryds" localSheetId="23">#REF!</definedName>
    <definedName name="Kryds" localSheetId="24">#REF!</definedName>
    <definedName name="Kryds" localSheetId="25">#REF!</definedName>
    <definedName name="Kryds" localSheetId="26">#REF!</definedName>
    <definedName name="Kryds" localSheetId="27">#REF!</definedName>
    <definedName name="Kryds" localSheetId="28">#REF!</definedName>
    <definedName name="Kryds" localSheetId="29">#REF!</definedName>
    <definedName name="Kryds" localSheetId="30">#REF!</definedName>
    <definedName name="Kryds" localSheetId="31">#REF!</definedName>
    <definedName name="Kryds" localSheetId="7">#REF!</definedName>
    <definedName name="Kryds" localSheetId="32">#REF!</definedName>
    <definedName name="Kryds" localSheetId="33">#REF!</definedName>
    <definedName name="Kryds" localSheetId="34">#REF!</definedName>
    <definedName name="Kryds" localSheetId="35">#REF!</definedName>
    <definedName name="Kryds" localSheetId="36">#REF!</definedName>
    <definedName name="Kryds" localSheetId="37">#REF!</definedName>
    <definedName name="Kryds" localSheetId="38">#REF!</definedName>
    <definedName name="Kryds" localSheetId="39">#REF!</definedName>
    <definedName name="Kryds" localSheetId="40">#REF!</definedName>
    <definedName name="Kryds" localSheetId="41">#REF!</definedName>
    <definedName name="Kryds" localSheetId="42">#REF!</definedName>
    <definedName name="Kryds" localSheetId="43">#REF!</definedName>
    <definedName name="Kryds" localSheetId="44">#REF!</definedName>
    <definedName name="Kryds" localSheetId="45">#REF!</definedName>
    <definedName name="Kryds" localSheetId="46">#REF!</definedName>
    <definedName name="Kryds" localSheetId="8">#REF!</definedName>
    <definedName name="Kryds" localSheetId="47">#REF!</definedName>
    <definedName name="Kryds" localSheetId="48">#REF!</definedName>
    <definedName name="Kryds" localSheetId="49">#REF!</definedName>
    <definedName name="Kryds" localSheetId="50">#REF!</definedName>
    <definedName name="Kryds" localSheetId="51">#REF!</definedName>
    <definedName name="Kryds" localSheetId="52">#REF!</definedName>
    <definedName name="Kryds" localSheetId="9">#REF!</definedName>
    <definedName name="Kryds" localSheetId="10">#REF!</definedName>
    <definedName name="Kryds" localSheetId="11">#REF!</definedName>
    <definedName name="Kryds" localSheetId="12">#REF!</definedName>
    <definedName name="Kryds" localSheetId="2">#REF!</definedName>
    <definedName name="Kryds">#REF!</definedName>
    <definedName name="Krydsningsmulighed" localSheetId="5">'1'!$A$104:$A$107</definedName>
    <definedName name="Krydsningsmulighed" localSheetId="13">'10'!$A$104:$A$107</definedName>
    <definedName name="Krydsningsmulighed" localSheetId="14">'11'!$A$104:$A$107</definedName>
    <definedName name="Krydsningsmulighed" localSheetId="15">'13'!$A$104:$A$107</definedName>
    <definedName name="Krydsningsmulighed" localSheetId="16">'14'!$A$104:$A$107</definedName>
    <definedName name="Krydsningsmulighed" localSheetId="17">'15'!$A$104:$A$107</definedName>
    <definedName name="Krydsningsmulighed" localSheetId="18">'16'!$A$104:$A$107</definedName>
    <definedName name="Krydsningsmulighed" localSheetId="19">'17'!$A$104:$A$107</definedName>
    <definedName name="Krydsningsmulighed" localSheetId="20">'18'!$A$104:$A$107</definedName>
    <definedName name="Krydsningsmulighed" localSheetId="21">'19'!$A$104:$A$107</definedName>
    <definedName name="Krydsningsmulighed" localSheetId="6">'2'!$A$104:$A$107</definedName>
    <definedName name="Krydsningsmulighed" localSheetId="22">'20'!$A$104:$A$107</definedName>
    <definedName name="Krydsningsmulighed" localSheetId="23">'21'!$A$104:$A$107</definedName>
    <definedName name="Krydsningsmulighed" localSheetId="24">'22'!$A$104:$A$107</definedName>
    <definedName name="Krydsningsmulighed" localSheetId="25">'23'!$A$104:$A$107</definedName>
    <definedName name="Krydsningsmulighed" localSheetId="26">'24'!$A$104:$A$107</definedName>
    <definedName name="Krydsningsmulighed" localSheetId="27">'25'!$A$104:$A$107</definedName>
    <definedName name="Krydsningsmulighed" localSheetId="28">'26'!$A$104:$A$107</definedName>
    <definedName name="Krydsningsmulighed" localSheetId="29">'27'!$A$104:$A$107</definedName>
    <definedName name="Krydsningsmulighed" localSheetId="30">'28'!$A$104:$A$107</definedName>
    <definedName name="Krydsningsmulighed" localSheetId="31">'29'!$A$104:$A$107</definedName>
    <definedName name="Krydsningsmulighed" localSheetId="7">'3'!$A$104:$A$107</definedName>
    <definedName name="Krydsningsmulighed" localSheetId="32">'30'!$A$104:$A$107</definedName>
    <definedName name="Krydsningsmulighed" localSheetId="33">'31'!$A$104:$A$107</definedName>
    <definedName name="Krydsningsmulighed" localSheetId="34">'32'!$A$104:$A$107</definedName>
    <definedName name="Krydsningsmulighed" localSheetId="35">'33'!$A$104:$A$107</definedName>
    <definedName name="Krydsningsmulighed" localSheetId="36">'34'!$A$104:$A$107</definedName>
    <definedName name="Krydsningsmulighed" localSheetId="37">'37'!$A$104:$A$107</definedName>
    <definedName name="Krydsningsmulighed" localSheetId="38">'38'!$A$104:$A$107</definedName>
    <definedName name="Krydsningsmulighed" localSheetId="39">'39'!$A$104:$A$107</definedName>
    <definedName name="Krydsningsmulighed" localSheetId="40">'41'!$A$104:$A$107</definedName>
    <definedName name="Krydsningsmulighed" localSheetId="41">'42'!$A$104:$A$107</definedName>
    <definedName name="Krydsningsmulighed" localSheetId="42">'43'!$A$104:$A$107</definedName>
    <definedName name="Krydsningsmulighed" localSheetId="43">'44'!$A$104:$A$107</definedName>
    <definedName name="Krydsningsmulighed" localSheetId="44">'45'!$A$104:$A$107</definedName>
    <definedName name="Krydsningsmulighed" localSheetId="45">'46'!$A$104:$A$107</definedName>
    <definedName name="Krydsningsmulighed" localSheetId="46">'49'!$A$104:$A$107</definedName>
    <definedName name="Krydsningsmulighed" localSheetId="8">'5'!$A$104:$A$107</definedName>
    <definedName name="Krydsningsmulighed" localSheetId="47">'50'!$A$104:$A$107</definedName>
    <definedName name="Krydsningsmulighed" localSheetId="48">'51'!$A$104:$A$107</definedName>
    <definedName name="Krydsningsmulighed" localSheetId="49">'52'!$A$104:$A$107</definedName>
    <definedName name="Krydsningsmulighed" localSheetId="50">'53'!$A$104:$A$107</definedName>
    <definedName name="Krydsningsmulighed" localSheetId="51">'54'!$A$104:$A$107</definedName>
    <definedName name="Krydsningsmulighed" localSheetId="52">'55'!$A$104:$A$107</definedName>
    <definedName name="Krydsningsmulighed" localSheetId="9">'6'!$A$104:$A$107</definedName>
    <definedName name="Krydsningsmulighed" localSheetId="10">'7'!$A$104:$A$107</definedName>
    <definedName name="Krydsningsmulighed" localSheetId="11">'8'!$A$104:$A$107</definedName>
    <definedName name="Krydsningsmulighed" localSheetId="12">'9'!$A$104:$A$107</definedName>
    <definedName name="Krydsningsmulighed" localSheetId="2">Skabelon!$A$104:$A$107</definedName>
    <definedName name="Krydsningsmulighed">#REF!</definedName>
    <definedName name="Miljø" localSheetId="5">'1'!#REF!</definedName>
    <definedName name="Miljø" localSheetId="13">'10'!#REF!</definedName>
    <definedName name="Miljø" localSheetId="14">'11'!#REF!</definedName>
    <definedName name="Miljø" localSheetId="15">'13'!#REF!</definedName>
    <definedName name="Miljø" localSheetId="16">'14'!#REF!</definedName>
    <definedName name="Miljø" localSheetId="17">'15'!#REF!</definedName>
    <definedName name="Miljø" localSheetId="18">'16'!#REF!</definedName>
    <definedName name="Miljø" localSheetId="19">'17'!#REF!</definedName>
    <definedName name="Miljø" localSheetId="20">'18'!#REF!</definedName>
    <definedName name="Miljø" localSheetId="21">'19'!#REF!</definedName>
    <definedName name="Miljø" localSheetId="6">'2'!#REF!</definedName>
    <definedName name="Miljø" localSheetId="22">'20'!#REF!</definedName>
    <definedName name="Miljø" localSheetId="23">'21'!#REF!</definedName>
    <definedName name="Miljø" localSheetId="24">'22'!#REF!</definedName>
    <definedName name="Miljø" localSheetId="25">'23'!#REF!</definedName>
    <definedName name="Miljø" localSheetId="26">'24'!#REF!</definedName>
    <definedName name="Miljø" localSheetId="27">'25'!#REF!</definedName>
    <definedName name="Miljø" localSheetId="28">'26'!#REF!</definedName>
    <definedName name="Miljø" localSheetId="29">'27'!#REF!</definedName>
    <definedName name="Miljø" localSheetId="30">'28'!#REF!</definedName>
    <definedName name="Miljø" localSheetId="31">'29'!#REF!</definedName>
    <definedName name="Miljø" localSheetId="7">'3'!#REF!</definedName>
    <definedName name="Miljø" localSheetId="32">'30'!#REF!</definedName>
    <definedName name="Miljø" localSheetId="33">'31'!#REF!</definedName>
    <definedName name="Miljø" localSheetId="34">'32'!#REF!</definedName>
    <definedName name="Miljø" localSheetId="35">'33'!#REF!</definedName>
    <definedName name="Miljø" localSheetId="36">'34'!#REF!</definedName>
    <definedName name="Miljø" localSheetId="37">'37'!#REF!</definedName>
    <definedName name="Miljø" localSheetId="38">'38'!#REF!</definedName>
    <definedName name="Miljø" localSheetId="39">'39'!#REF!</definedName>
    <definedName name="Miljø" localSheetId="40">'41'!#REF!</definedName>
    <definedName name="Miljø" localSheetId="41">'42'!#REF!</definedName>
    <definedName name="Miljø" localSheetId="42">'43'!#REF!</definedName>
    <definedName name="Miljø" localSheetId="43">'44'!#REF!</definedName>
    <definedName name="Miljø" localSheetId="44">'45'!#REF!</definedName>
    <definedName name="Miljø" localSheetId="45">'46'!#REF!</definedName>
    <definedName name="Miljø" localSheetId="46">'49'!#REF!</definedName>
    <definedName name="Miljø" localSheetId="8">'5'!#REF!</definedName>
    <definedName name="Miljø" localSheetId="47">'50'!#REF!</definedName>
    <definedName name="Miljø" localSheetId="48">'51'!#REF!</definedName>
    <definedName name="Miljø" localSheetId="49">'52'!#REF!</definedName>
    <definedName name="Miljø" localSheetId="50">'53'!#REF!</definedName>
    <definedName name="Miljø" localSheetId="51">'54'!#REF!</definedName>
    <definedName name="Miljø" localSheetId="52">'55'!#REF!</definedName>
    <definedName name="Miljø" localSheetId="9">'6'!#REF!</definedName>
    <definedName name="Miljø" localSheetId="10">'7'!#REF!</definedName>
    <definedName name="Miljø" localSheetId="11">'8'!#REF!</definedName>
    <definedName name="Miljø" localSheetId="12">'9'!#REF!</definedName>
    <definedName name="Miljø" localSheetId="2">Skabelon!#REF!</definedName>
    <definedName name="Miljø">#REF!</definedName>
    <definedName name="_xlnm.Print_Area" localSheetId="5">'1'!$A$1:$N$59</definedName>
    <definedName name="_xlnm.Print_Area" localSheetId="13">'10'!$A$1:$N$59</definedName>
    <definedName name="_xlnm.Print_Area" localSheetId="14">'11'!$A$1:$N$59</definedName>
    <definedName name="_xlnm.Print_Area" localSheetId="15">'13'!$A$1:$N$59</definedName>
    <definedName name="_xlnm.Print_Area" localSheetId="16">'14'!$A$1:$N$59</definedName>
    <definedName name="_xlnm.Print_Area" localSheetId="17">'15'!$A$1:$N$59</definedName>
    <definedName name="_xlnm.Print_Area" localSheetId="18">'16'!$A$1:$N$59</definedName>
    <definedName name="_xlnm.Print_Area" localSheetId="19">'17'!$A$1:$N$59</definedName>
    <definedName name="_xlnm.Print_Area" localSheetId="20">'18'!$A$1:$N$59</definedName>
    <definedName name="_xlnm.Print_Area" localSheetId="21">'19'!$A$1:$N$59</definedName>
    <definedName name="_xlnm.Print_Area" localSheetId="6">'2'!$A$1:$N$59</definedName>
    <definedName name="_xlnm.Print_Area" localSheetId="22">'20'!$A$1:$N$59</definedName>
    <definedName name="_xlnm.Print_Area" localSheetId="23">'21'!$A$1:$N$59</definedName>
    <definedName name="_xlnm.Print_Area" localSheetId="24">'22'!$A$1:$N$59</definedName>
    <definedName name="_xlnm.Print_Area" localSheetId="25">'23'!$A$1:$N$59</definedName>
    <definedName name="_xlnm.Print_Area" localSheetId="26">'24'!$A$1:$N$59</definedName>
    <definedName name="_xlnm.Print_Area" localSheetId="27">'25'!$A$1:$N$59</definedName>
    <definedName name="_xlnm.Print_Area" localSheetId="28">'26'!$A$1:$N$59</definedName>
    <definedName name="_xlnm.Print_Area" localSheetId="29">'27'!$A$1:$N$59</definedName>
    <definedName name="_xlnm.Print_Area" localSheetId="30">'28'!$A$1:$N$59</definedName>
    <definedName name="_xlnm.Print_Area" localSheetId="31">'29'!$A$1:$N$59</definedName>
    <definedName name="_xlnm.Print_Area" localSheetId="7">'3'!$A$1:$N$59</definedName>
    <definedName name="_xlnm.Print_Area" localSheetId="32">'30'!$A$1:$N$59</definedName>
    <definedName name="_xlnm.Print_Area" localSheetId="33">'31'!$A$1:$N$59</definedName>
    <definedName name="_xlnm.Print_Area" localSheetId="34">'32'!$A$1:$N$59</definedName>
    <definedName name="_xlnm.Print_Area" localSheetId="35">'33'!$A$1:$N$59</definedName>
    <definedName name="_xlnm.Print_Area" localSheetId="36">'34'!$A$1:$N$59</definedName>
    <definedName name="_xlnm.Print_Area" localSheetId="37">'37'!$A$1:$N$59</definedName>
    <definedName name="_xlnm.Print_Area" localSheetId="38">'38'!$A$1:$N$59</definedName>
    <definedName name="_xlnm.Print_Area" localSheetId="39">'39'!$A$1:$N$59</definedName>
    <definedName name="_xlnm.Print_Area" localSheetId="40">'41'!$A$1:$N$59</definedName>
    <definedName name="_xlnm.Print_Area" localSheetId="41">'42'!$A$1:$N$59</definedName>
    <definedName name="_xlnm.Print_Area" localSheetId="42">'43'!$A$1:$N$59</definedName>
    <definedName name="_xlnm.Print_Area" localSheetId="43">'44'!$A$1:$N$59</definedName>
    <definedName name="_xlnm.Print_Area" localSheetId="44">'45'!$A$1:$N$59</definedName>
    <definedName name="_xlnm.Print_Area" localSheetId="45">'46'!$A$1:$N$59</definedName>
    <definedName name="_xlnm.Print_Area" localSheetId="46">'49'!$A$1:$N$59</definedName>
    <definedName name="_xlnm.Print_Area" localSheetId="8">'5'!$A$1:$N$59</definedName>
    <definedName name="_xlnm.Print_Area" localSheetId="47">'50'!$A$1:$N$59</definedName>
    <definedName name="_xlnm.Print_Area" localSheetId="48">'51'!$A$1:$N$59</definedName>
    <definedName name="_xlnm.Print_Area" localSheetId="49">'52'!$A$1:$N$59</definedName>
    <definedName name="_xlnm.Print_Area" localSheetId="50">'53'!$A$1:$N$59</definedName>
    <definedName name="_xlnm.Print_Area" localSheetId="51">'54'!$A$1:$N$59</definedName>
    <definedName name="_xlnm.Print_Area" localSheetId="52">'55'!$A$1:$N$59</definedName>
    <definedName name="_xlnm.Print_Area" localSheetId="9">'6'!$A$1:$N$59</definedName>
    <definedName name="_xlnm.Print_Area" localSheetId="10">'7'!$A$1:$N$59</definedName>
    <definedName name="_xlnm.Print_Area" localSheetId="11">'8'!$A$1:$N$59</definedName>
    <definedName name="_xlnm.Print_Area" localSheetId="12">'9'!$A$1:$N$59</definedName>
    <definedName name="_xlnm.Print_Area" localSheetId="2">Skabelon!$A$1:$N$59</definedName>
    <definedName name="valg" localSheetId="5">'1'!#REF!</definedName>
    <definedName name="valg" localSheetId="13">'10'!#REF!</definedName>
    <definedName name="valg" localSheetId="14">'11'!#REF!</definedName>
    <definedName name="valg" localSheetId="15">'13'!#REF!</definedName>
    <definedName name="valg" localSheetId="16">'14'!#REF!</definedName>
    <definedName name="valg" localSheetId="17">'15'!#REF!</definedName>
    <definedName name="valg" localSheetId="18">'16'!#REF!</definedName>
    <definedName name="valg" localSheetId="19">'17'!#REF!</definedName>
    <definedName name="valg" localSheetId="20">'18'!#REF!</definedName>
    <definedName name="valg" localSheetId="21">'19'!#REF!</definedName>
    <definedName name="valg" localSheetId="6">'2'!#REF!</definedName>
    <definedName name="valg" localSheetId="22">'20'!#REF!</definedName>
    <definedName name="valg" localSheetId="23">'21'!#REF!</definedName>
    <definedName name="valg" localSheetId="24">'22'!#REF!</definedName>
    <definedName name="valg" localSheetId="25">'23'!#REF!</definedName>
    <definedName name="valg" localSheetId="26">'24'!#REF!</definedName>
    <definedName name="valg" localSheetId="27">'25'!#REF!</definedName>
    <definedName name="valg" localSheetId="28">'26'!#REF!</definedName>
    <definedName name="valg" localSheetId="29">'27'!#REF!</definedName>
    <definedName name="valg" localSheetId="30">'28'!#REF!</definedName>
    <definedName name="valg" localSheetId="31">'29'!#REF!</definedName>
    <definedName name="valg" localSheetId="7">'3'!#REF!</definedName>
    <definedName name="valg" localSheetId="32">'30'!#REF!</definedName>
    <definedName name="valg" localSheetId="33">'31'!#REF!</definedName>
    <definedName name="valg" localSheetId="34">'32'!#REF!</definedName>
    <definedName name="valg" localSheetId="35">'33'!#REF!</definedName>
    <definedName name="valg" localSheetId="36">'34'!#REF!</definedName>
    <definedName name="valg" localSheetId="37">'37'!#REF!</definedName>
    <definedName name="valg" localSheetId="38">'38'!#REF!</definedName>
    <definedName name="valg" localSheetId="39">'39'!#REF!</definedName>
    <definedName name="valg" localSheetId="40">'41'!#REF!</definedName>
    <definedName name="valg" localSheetId="41">'42'!#REF!</definedName>
    <definedName name="valg" localSheetId="42">'43'!#REF!</definedName>
    <definedName name="valg" localSheetId="43">'44'!#REF!</definedName>
    <definedName name="valg" localSheetId="44">'45'!#REF!</definedName>
    <definedName name="valg" localSheetId="45">'46'!#REF!</definedName>
    <definedName name="valg" localSheetId="46">'49'!#REF!</definedName>
    <definedName name="valg" localSheetId="8">'5'!#REF!</definedName>
    <definedName name="valg" localSheetId="47">'50'!#REF!</definedName>
    <definedName name="valg" localSheetId="48">'51'!#REF!</definedName>
    <definedName name="valg" localSheetId="49">'52'!#REF!</definedName>
    <definedName name="valg" localSheetId="50">'53'!#REF!</definedName>
    <definedName name="valg" localSheetId="51">'54'!#REF!</definedName>
    <definedName name="valg" localSheetId="52">'55'!#REF!</definedName>
    <definedName name="valg" localSheetId="9">'6'!#REF!</definedName>
    <definedName name="valg" localSheetId="10">'7'!#REF!</definedName>
    <definedName name="valg" localSheetId="11">'8'!#REF!</definedName>
    <definedName name="valg" localSheetId="12">'9'!#REF!</definedName>
    <definedName name="valg" localSheetId="2">Skabelon!#REF!</definedName>
    <definedName name="valg">#REF!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34" i="233" l="1"/>
  <c r="K37" i="155"/>
  <c r="K36" i="155"/>
  <c r="K35" i="155"/>
  <c r="K34" i="155"/>
  <c r="K37" i="277"/>
  <c r="K36" i="277"/>
  <c r="K35" i="277"/>
  <c r="K34" i="277"/>
  <c r="K37" i="276"/>
  <c r="K36" i="276"/>
  <c r="K35" i="276"/>
  <c r="K34" i="276"/>
  <c r="K37" i="275"/>
  <c r="K36" i="275"/>
  <c r="K35" i="275"/>
  <c r="K34" i="275"/>
  <c r="K37" i="274"/>
  <c r="K36" i="274"/>
  <c r="K35" i="274"/>
  <c r="K34" i="274"/>
  <c r="K37" i="273"/>
  <c r="K36" i="273"/>
  <c r="K35" i="273"/>
  <c r="K34" i="273"/>
  <c r="K37" i="272"/>
  <c r="K36" i="272"/>
  <c r="K35" i="272"/>
  <c r="K34" i="272"/>
  <c r="K37" i="271"/>
  <c r="K36" i="271"/>
  <c r="K35" i="271"/>
  <c r="K34" i="271"/>
  <c r="K37" i="269"/>
  <c r="K36" i="269"/>
  <c r="K35" i="269"/>
  <c r="K34" i="269"/>
  <c r="K37" i="268"/>
  <c r="K36" i="268"/>
  <c r="K35" i="268"/>
  <c r="K34" i="268"/>
  <c r="K37" i="267"/>
  <c r="K36" i="267"/>
  <c r="K35" i="267"/>
  <c r="K34" i="267"/>
  <c r="K37" i="266"/>
  <c r="K36" i="266"/>
  <c r="K35" i="266"/>
  <c r="K34" i="266"/>
  <c r="K37" i="265"/>
  <c r="K36" i="265"/>
  <c r="K35" i="265"/>
  <c r="K34" i="265"/>
  <c r="K37" i="264"/>
  <c r="K36" i="264"/>
  <c r="K35" i="264"/>
  <c r="K34" i="264"/>
  <c r="K37" i="262"/>
  <c r="K36" i="262"/>
  <c r="K35" i="262"/>
  <c r="K34" i="262"/>
  <c r="K37" i="261"/>
  <c r="K36" i="261"/>
  <c r="K35" i="261"/>
  <c r="K34" i="261"/>
  <c r="K37" i="260"/>
  <c r="K36" i="260"/>
  <c r="K35" i="260"/>
  <c r="K34" i="260"/>
  <c r="K37" i="259"/>
  <c r="K36" i="259"/>
  <c r="K35" i="259"/>
  <c r="K34" i="259"/>
  <c r="K37" i="258"/>
  <c r="K36" i="258"/>
  <c r="K35" i="258"/>
  <c r="K34" i="258"/>
  <c r="K37" i="257"/>
  <c r="K36" i="257"/>
  <c r="K35" i="257"/>
  <c r="K34" i="257"/>
  <c r="K37" i="256"/>
  <c r="K36" i="256"/>
  <c r="K35" i="256"/>
  <c r="K34" i="256"/>
  <c r="K37" i="255"/>
  <c r="K36" i="255"/>
  <c r="K35" i="255"/>
  <c r="K34" i="255"/>
  <c r="K37" i="254"/>
  <c r="K36" i="254"/>
  <c r="K35" i="254"/>
  <c r="K34" i="254"/>
  <c r="K37" i="253"/>
  <c r="K36" i="253"/>
  <c r="K35" i="253"/>
  <c r="K34" i="253"/>
  <c r="K37" i="252"/>
  <c r="K36" i="252"/>
  <c r="K35" i="252"/>
  <c r="K34" i="252"/>
  <c r="K37" i="251"/>
  <c r="K36" i="251"/>
  <c r="K35" i="251"/>
  <c r="K34" i="251"/>
  <c r="K37" i="250"/>
  <c r="K36" i="250"/>
  <c r="K35" i="250"/>
  <c r="K34" i="250"/>
  <c r="K37" i="249"/>
  <c r="K36" i="249"/>
  <c r="K35" i="249"/>
  <c r="K34" i="249"/>
  <c r="K37" i="248"/>
  <c r="K36" i="248"/>
  <c r="K35" i="248"/>
  <c r="K34" i="248"/>
  <c r="K37" i="247"/>
  <c r="K36" i="247"/>
  <c r="K35" i="247"/>
  <c r="K34" i="247"/>
  <c r="K37" i="246"/>
  <c r="K36" i="246"/>
  <c r="K35" i="246"/>
  <c r="K34" i="246"/>
  <c r="K37" i="245"/>
  <c r="K36" i="245"/>
  <c r="K35" i="245"/>
  <c r="K34" i="245"/>
  <c r="K37" i="244"/>
  <c r="K36" i="244"/>
  <c r="K35" i="244"/>
  <c r="K34" i="244"/>
  <c r="K37" i="243"/>
  <c r="K36" i="243"/>
  <c r="K35" i="243"/>
  <c r="K34" i="243"/>
  <c r="K37" i="242"/>
  <c r="K36" i="242"/>
  <c r="K35" i="242"/>
  <c r="K34" i="242"/>
  <c r="K37" i="241"/>
  <c r="K36" i="241"/>
  <c r="K35" i="241"/>
  <c r="K34" i="241"/>
  <c r="K37" i="240"/>
  <c r="K36" i="240"/>
  <c r="K35" i="240"/>
  <c r="K34" i="240"/>
  <c r="K37" i="239"/>
  <c r="K36" i="239"/>
  <c r="K35" i="239"/>
  <c r="K34" i="239"/>
  <c r="K37" i="238"/>
  <c r="K36" i="238"/>
  <c r="K35" i="238"/>
  <c r="K34" i="238"/>
  <c r="K37" i="237"/>
  <c r="K36" i="237"/>
  <c r="K35" i="237"/>
  <c r="K34" i="237"/>
  <c r="K37" i="236"/>
  <c r="K36" i="236"/>
  <c r="K35" i="236"/>
  <c r="K34" i="236"/>
  <c r="K37" i="235"/>
  <c r="K36" i="235"/>
  <c r="K35" i="235"/>
  <c r="K34" i="235"/>
  <c r="K37" i="234"/>
  <c r="K36" i="234"/>
  <c r="K35" i="234"/>
  <c r="K34" i="234"/>
  <c r="K37" i="233"/>
  <c r="K36" i="233"/>
  <c r="K35" i="233"/>
  <c r="K37" i="232"/>
  <c r="K36" i="232"/>
  <c r="K35" i="232"/>
  <c r="K34" i="232"/>
  <c r="K37" i="231"/>
  <c r="K36" i="231"/>
  <c r="K35" i="231"/>
  <c r="K34" i="231"/>
  <c r="K37" i="228"/>
  <c r="K36" i="228"/>
  <c r="K35" i="228"/>
  <c r="K34" i="228"/>
  <c r="K37" i="227"/>
  <c r="K36" i="227"/>
  <c r="K35" i="227"/>
  <c r="K34" i="227"/>
  <c r="K37" i="226"/>
  <c r="K36" i="226"/>
  <c r="K35" i="226"/>
  <c r="K34" i="226"/>
  <c r="I46" i="277" l="1"/>
  <c r="I47" i="276"/>
  <c r="I46" i="275"/>
  <c r="I46" i="273"/>
  <c r="I46" i="272"/>
  <c r="I46" i="271"/>
  <c r="I47" i="269"/>
  <c r="I46" i="269"/>
  <c r="I47" i="266"/>
  <c r="I46" i="266"/>
  <c r="I46" i="265"/>
  <c r="I46" i="264"/>
  <c r="I48" i="262"/>
  <c r="I46" i="262"/>
  <c r="I46" i="261"/>
  <c r="I47" i="260"/>
  <c r="I46" i="260"/>
  <c r="I46" i="259"/>
  <c r="I46" i="258"/>
  <c r="I46" i="257"/>
  <c r="I46" i="256"/>
  <c r="I47" i="255"/>
  <c r="I46" i="255"/>
  <c r="I46" i="254"/>
  <c r="I46" i="253"/>
  <c r="I46" i="252"/>
  <c r="I46" i="251"/>
  <c r="I46" i="250"/>
  <c r="I46" i="249"/>
  <c r="I48" i="248"/>
  <c r="I47" i="248"/>
  <c r="I46" i="248"/>
  <c r="I46" i="247"/>
  <c r="I46" i="246"/>
  <c r="I46" i="245"/>
  <c r="I46" i="244"/>
  <c r="I46" i="243"/>
  <c r="I46" i="242"/>
  <c r="I46" i="241"/>
  <c r="I47" i="240"/>
  <c r="I46" i="240"/>
  <c r="I46" i="239"/>
  <c r="I48" i="238"/>
  <c r="I47" i="238"/>
  <c r="I46" i="238"/>
  <c r="I46" i="237"/>
  <c r="I46" i="236"/>
  <c r="I47" i="235"/>
  <c r="I46" i="235"/>
  <c r="I46" i="234"/>
  <c r="I48" i="233"/>
  <c r="I47" i="233"/>
  <c r="I46" i="233"/>
  <c r="I48" i="232"/>
  <c r="I47" i="232"/>
  <c r="I46" i="232"/>
  <c r="I48" i="231"/>
  <c r="I47" i="231"/>
  <c r="I46" i="231"/>
  <c r="I46" i="228"/>
  <c r="I46" i="227"/>
  <c r="I47" i="226"/>
  <c r="I46" i="226"/>
  <c r="J53" i="277"/>
  <c r="J52" i="277"/>
  <c r="J51" i="277"/>
  <c r="J50" i="277"/>
  <c r="J49" i="277"/>
  <c r="J48" i="277"/>
  <c r="J47" i="277"/>
  <c r="J46" i="277"/>
  <c r="J29" i="277"/>
  <c r="I29" i="277"/>
  <c r="J28" i="277"/>
  <c r="I28" i="277"/>
  <c r="J27" i="277"/>
  <c r="I27" i="277"/>
  <c r="J25" i="277"/>
  <c r="K25" i="277" s="1"/>
  <c r="I25" i="277"/>
  <c r="J24" i="277"/>
  <c r="I24" i="277"/>
  <c r="J23" i="277"/>
  <c r="I23" i="277"/>
  <c r="I22" i="277"/>
  <c r="J21" i="277"/>
  <c r="K21" i="277" s="1"/>
  <c r="I21" i="277"/>
  <c r="I20" i="277"/>
  <c r="H20" i="277"/>
  <c r="I19" i="277"/>
  <c r="H19" i="277"/>
  <c r="J19" i="277" s="1"/>
  <c r="J18" i="277"/>
  <c r="I18" i="277"/>
  <c r="H18" i="277"/>
  <c r="I17" i="277"/>
  <c r="H17" i="277"/>
  <c r="J17" i="277" s="1"/>
  <c r="J53" i="276"/>
  <c r="J52" i="276"/>
  <c r="J51" i="276"/>
  <c r="J50" i="276"/>
  <c r="J49" i="276"/>
  <c r="J48" i="276"/>
  <c r="J47" i="276"/>
  <c r="J46" i="276"/>
  <c r="J29" i="276"/>
  <c r="I29" i="276"/>
  <c r="J28" i="276"/>
  <c r="I28" i="276"/>
  <c r="J27" i="276"/>
  <c r="I27" i="276"/>
  <c r="J25" i="276"/>
  <c r="I25" i="276"/>
  <c r="J24" i="276"/>
  <c r="I24" i="276"/>
  <c r="J23" i="276"/>
  <c r="I23" i="276"/>
  <c r="I22" i="276"/>
  <c r="J21" i="276"/>
  <c r="I21" i="276"/>
  <c r="I20" i="276"/>
  <c r="H20" i="276"/>
  <c r="J20" i="276" s="1"/>
  <c r="K20" i="276" s="1"/>
  <c r="I19" i="276"/>
  <c r="H19" i="276"/>
  <c r="J19" i="276" s="1"/>
  <c r="I18" i="276"/>
  <c r="H18" i="276"/>
  <c r="J18" i="276" s="1"/>
  <c r="K18" i="276" s="1"/>
  <c r="I17" i="276"/>
  <c r="H17" i="276"/>
  <c r="J17" i="276" s="1"/>
  <c r="J53" i="275"/>
  <c r="J52" i="275"/>
  <c r="J51" i="275"/>
  <c r="J50" i="275"/>
  <c r="J49" i="275"/>
  <c r="J48" i="275"/>
  <c r="J47" i="275"/>
  <c r="J46" i="275"/>
  <c r="J29" i="275"/>
  <c r="I29" i="275"/>
  <c r="J28" i="275"/>
  <c r="I28" i="275"/>
  <c r="J27" i="275"/>
  <c r="I27" i="275"/>
  <c r="J25" i="275"/>
  <c r="I25" i="275"/>
  <c r="J24" i="275"/>
  <c r="I24" i="275"/>
  <c r="J23" i="275"/>
  <c r="I23" i="275"/>
  <c r="I22" i="275"/>
  <c r="J21" i="275"/>
  <c r="I21" i="275"/>
  <c r="I20" i="275"/>
  <c r="H20" i="275"/>
  <c r="I19" i="275"/>
  <c r="H19" i="275"/>
  <c r="J19" i="275" s="1"/>
  <c r="I18" i="275"/>
  <c r="H18" i="275"/>
  <c r="J18" i="275" s="1"/>
  <c r="I17" i="275"/>
  <c r="H17" i="275"/>
  <c r="J17" i="275" s="1"/>
  <c r="J53" i="274"/>
  <c r="J52" i="274"/>
  <c r="J51" i="274"/>
  <c r="J50" i="274"/>
  <c r="J49" i="274"/>
  <c r="J48" i="274"/>
  <c r="J47" i="274"/>
  <c r="J46" i="274"/>
  <c r="J29" i="274"/>
  <c r="I29" i="274"/>
  <c r="J28" i="274"/>
  <c r="I28" i="274"/>
  <c r="J27" i="274"/>
  <c r="I27" i="274"/>
  <c r="J25" i="274"/>
  <c r="I25" i="274"/>
  <c r="J24" i="274"/>
  <c r="I24" i="274"/>
  <c r="J23" i="274"/>
  <c r="I23" i="274"/>
  <c r="I22" i="274"/>
  <c r="J21" i="274"/>
  <c r="I21" i="274"/>
  <c r="I20" i="274"/>
  <c r="H20" i="274"/>
  <c r="I19" i="274"/>
  <c r="H19" i="274"/>
  <c r="J19" i="274" s="1"/>
  <c r="J18" i="274"/>
  <c r="I18" i="274"/>
  <c r="H18" i="274"/>
  <c r="I17" i="274"/>
  <c r="H17" i="274"/>
  <c r="J17" i="274" s="1"/>
  <c r="K19" i="274" l="1"/>
  <c r="K19" i="277"/>
  <c r="K21" i="274"/>
  <c r="K19" i="276"/>
  <c r="K25" i="274"/>
  <c r="K27" i="275"/>
  <c r="K29" i="276"/>
  <c r="K24" i="274"/>
  <c r="K28" i="274"/>
  <c r="K25" i="276"/>
  <c r="K29" i="274"/>
  <c r="K18" i="275"/>
  <c r="K24" i="275"/>
  <c r="K27" i="277"/>
  <c r="K26" i="277" s="1"/>
  <c r="E11" i="277" s="1"/>
  <c r="K28" i="275"/>
  <c r="K24" i="277"/>
  <c r="K27" i="274"/>
  <c r="K18" i="277"/>
  <c r="K24" i="276"/>
  <c r="K19" i="275"/>
  <c r="K25" i="275"/>
  <c r="K27" i="276"/>
  <c r="K26" i="276" s="1"/>
  <c r="E11" i="276" s="1"/>
  <c r="K28" i="277"/>
  <c r="K21" i="275"/>
  <c r="K29" i="275"/>
  <c r="K18" i="274"/>
  <c r="K16" i="274" s="1"/>
  <c r="K21" i="276"/>
  <c r="K28" i="276"/>
  <c r="K29" i="277"/>
  <c r="J20" i="277"/>
  <c r="K20" i="277" s="1"/>
  <c r="K17" i="277"/>
  <c r="K23" i="277"/>
  <c r="J54" i="277"/>
  <c r="J55" i="277" s="1"/>
  <c r="B9" i="277" s="1"/>
  <c r="J54" i="276"/>
  <c r="J55" i="276" s="1"/>
  <c r="B9" i="276" s="1"/>
  <c r="K17" i="276"/>
  <c r="K23" i="276"/>
  <c r="J20" i="275"/>
  <c r="K20" i="275" s="1"/>
  <c r="J54" i="275"/>
  <c r="J55" i="275" s="1"/>
  <c r="B9" i="275" s="1"/>
  <c r="K17" i="275"/>
  <c r="K23" i="275"/>
  <c r="J20" i="274"/>
  <c r="K20" i="274" s="1"/>
  <c r="K17" i="274"/>
  <c r="K23" i="274"/>
  <c r="K22" i="274" s="1"/>
  <c r="E10" i="274" s="1"/>
  <c r="J54" i="274"/>
  <c r="J55" i="274" s="1"/>
  <c r="B9" i="274" s="1"/>
  <c r="K16" i="276" l="1"/>
  <c r="K16" i="277"/>
  <c r="K16" i="275"/>
  <c r="E9" i="275" s="1"/>
  <c r="K22" i="275"/>
  <c r="E10" i="275" s="1"/>
  <c r="K26" i="274"/>
  <c r="E11" i="274" s="1"/>
  <c r="K22" i="276"/>
  <c r="E10" i="276" s="1"/>
  <c r="K26" i="275"/>
  <c r="E11" i="275" s="1"/>
  <c r="K22" i="277"/>
  <c r="E10" i="277" s="1"/>
  <c r="E9" i="277"/>
  <c r="E9" i="276"/>
  <c r="E9" i="274"/>
  <c r="J53" i="273" l="1"/>
  <c r="J52" i="273"/>
  <c r="J51" i="273"/>
  <c r="J50" i="273"/>
  <c r="J49" i="273"/>
  <c r="J48" i="273"/>
  <c r="J47" i="273"/>
  <c r="J46" i="273"/>
  <c r="J29" i="273"/>
  <c r="I29" i="273"/>
  <c r="J28" i="273"/>
  <c r="I28" i="273"/>
  <c r="J27" i="273"/>
  <c r="I27" i="273"/>
  <c r="J25" i="273"/>
  <c r="K25" i="273" s="1"/>
  <c r="I25" i="273"/>
  <c r="J24" i="273"/>
  <c r="I24" i="273"/>
  <c r="J23" i="273"/>
  <c r="I23" i="273"/>
  <c r="I22" i="273"/>
  <c r="J21" i="273"/>
  <c r="K21" i="273" s="1"/>
  <c r="I21" i="273"/>
  <c r="I20" i="273"/>
  <c r="H20" i="273"/>
  <c r="I19" i="273"/>
  <c r="H19" i="273"/>
  <c r="J19" i="273" s="1"/>
  <c r="K19" i="273" s="1"/>
  <c r="J18" i="273"/>
  <c r="I18" i="273"/>
  <c r="H18" i="273"/>
  <c r="I17" i="273"/>
  <c r="H17" i="273"/>
  <c r="J17" i="273" s="1"/>
  <c r="J53" i="272"/>
  <c r="J52" i="272"/>
  <c r="J51" i="272"/>
  <c r="J50" i="272"/>
  <c r="J49" i="272"/>
  <c r="J48" i="272"/>
  <c r="J47" i="272"/>
  <c r="J46" i="272"/>
  <c r="J29" i="272"/>
  <c r="I29" i="272"/>
  <c r="J28" i="272"/>
  <c r="I28" i="272"/>
  <c r="J27" i="272"/>
  <c r="I27" i="272"/>
  <c r="J25" i="272"/>
  <c r="K25" i="272" s="1"/>
  <c r="I25" i="272"/>
  <c r="J24" i="272"/>
  <c r="K24" i="272" s="1"/>
  <c r="I24" i="272"/>
  <c r="J23" i="272"/>
  <c r="I23" i="272"/>
  <c r="I22" i="272"/>
  <c r="J21" i="272"/>
  <c r="I21" i="272"/>
  <c r="I20" i="272"/>
  <c r="H20" i="272"/>
  <c r="I19" i="272"/>
  <c r="H19" i="272"/>
  <c r="J19" i="272" s="1"/>
  <c r="I18" i="272"/>
  <c r="H18" i="272"/>
  <c r="J18" i="272" s="1"/>
  <c r="K18" i="272" s="1"/>
  <c r="I17" i="272"/>
  <c r="H17" i="272"/>
  <c r="J17" i="272" s="1"/>
  <c r="J53" i="271"/>
  <c r="J52" i="271"/>
  <c r="J51" i="271"/>
  <c r="J50" i="271"/>
  <c r="J49" i="271"/>
  <c r="J48" i="271"/>
  <c r="J47" i="271"/>
  <c r="J46" i="271"/>
  <c r="J29" i="271"/>
  <c r="K29" i="271" s="1"/>
  <c r="I29" i="271"/>
  <c r="J28" i="271"/>
  <c r="I28" i="271"/>
  <c r="J27" i="271"/>
  <c r="I27" i="271"/>
  <c r="J25" i="271"/>
  <c r="K25" i="271" s="1"/>
  <c r="I25" i="271"/>
  <c r="J24" i="271"/>
  <c r="I24" i="271"/>
  <c r="J23" i="271"/>
  <c r="I23" i="271"/>
  <c r="I22" i="271"/>
  <c r="J21" i="271"/>
  <c r="I21" i="271"/>
  <c r="I20" i="271"/>
  <c r="H20" i="271"/>
  <c r="I19" i="271"/>
  <c r="H19" i="271"/>
  <c r="J19" i="271" s="1"/>
  <c r="K19" i="271" s="1"/>
  <c r="J18" i="271"/>
  <c r="K18" i="271" s="1"/>
  <c r="I18" i="271"/>
  <c r="H18" i="271"/>
  <c r="I17" i="271"/>
  <c r="H17" i="271"/>
  <c r="J17" i="271" s="1"/>
  <c r="J53" i="269"/>
  <c r="J52" i="269"/>
  <c r="J51" i="269"/>
  <c r="J50" i="269"/>
  <c r="J49" i="269"/>
  <c r="J48" i="269"/>
  <c r="J47" i="269"/>
  <c r="J46" i="269"/>
  <c r="J29" i="269"/>
  <c r="K29" i="269" s="1"/>
  <c r="I29" i="269"/>
  <c r="J28" i="269"/>
  <c r="K28" i="269" s="1"/>
  <c r="I28" i="269"/>
  <c r="J27" i="269"/>
  <c r="I27" i="269"/>
  <c r="J25" i="269"/>
  <c r="I25" i="269"/>
  <c r="J24" i="269"/>
  <c r="I24" i="269"/>
  <c r="J23" i="269"/>
  <c r="I23" i="269"/>
  <c r="I22" i="269"/>
  <c r="J21" i="269"/>
  <c r="K21" i="269" s="1"/>
  <c r="I21" i="269"/>
  <c r="I20" i="269"/>
  <c r="H20" i="269"/>
  <c r="I19" i="269"/>
  <c r="H19" i="269"/>
  <c r="J19" i="269" s="1"/>
  <c r="K19" i="269" s="1"/>
  <c r="I18" i="269"/>
  <c r="H18" i="269"/>
  <c r="J18" i="269" s="1"/>
  <c r="K18" i="269" s="1"/>
  <c r="I17" i="269"/>
  <c r="H17" i="269"/>
  <c r="J17" i="269" s="1"/>
  <c r="J54" i="268"/>
  <c r="J53" i="268"/>
  <c r="J52" i="268"/>
  <c r="J51" i="268"/>
  <c r="J50" i="268"/>
  <c r="J49" i="268"/>
  <c r="J48" i="268"/>
  <c r="J47" i="268"/>
  <c r="J46" i="268"/>
  <c r="J29" i="268"/>
  <c r="K29" i="268" s="1"/>
  <c r="I29" i="268"/>
  <c r="J28" i="268"/>
  <c r="K28" i="268" s="1"/>
  <c r="I28" i="268"/>
  <c r="J27" i="268"/>
  <c r="I27" i="268"/>
  <c r="J25" i="268"/>
  <c r="I25" i="268"/>
  <c r="J24" i="268"/>
  <c r="I24" i="268"/>
  <c r="J23" i="268"/>
  <c r="I23" i="268"/>
  <c r="I22" i="268"/>
  <c r="J21" i="268"/>
  <c r="K21" i="268" s="1"/>
  <c r="I21" i="268"/>
  <c r="I20" i="268"/>
  <c r="H20" i="268"/>
  <c r="I19" i="268"/>
  <c r="H19" i="268"/>
  <c r="J19" i="268" s="1"/>
  <c r="J18" i="268"/>
  <c r="I18" i="268"/>
  <c r="H18" i="268"/>
  <c r="I17" i="268"/>
  <c r="H17" i="268"/>
  <c r="J17" i="268" s="1"/>
  <c r="J53" i="267"/>
  <c r="J52" i="267"/>
  <c r="J51" i="267"/>
  <c r="J50" i="267"/>
  <c r="J49" i="267"/>
  <c r="J48" i="267"/>
  <c r="J47" i="267"/>
  <c r="J46" i="267"/>
  <c r="J29" i="267"/>
  <c r="I29" i="267"/>
  <c r="J28" i="267"/>
  <c r="K28" i="267" s="1"/>
  <c r="I28" i="267"/>
  <c r="J27" i="267"/>
  <c r="I27" i="267"/>
  <c r="J25" i="267"/>
  <c r="I25" i="267"/>
  <c r="J24" i="267"/>
  <c r="I24" i="267"/>
  <c r="J23" i="267"/>
  <c r="I23" i="267"/>
  <c r="I22" i="267"/>
  <c r="J21" i="267"/>
  <c r="K21" i="267" s="1"/>
  <c r="I21" i="267"/>
  <c r="I20" i="267"/>
  <c r="H20" i="267"/>
  <c r="I19" i="267"/>
  <c r="H19" i="267"/>
  <c r="J19" i="267" s="1"/>
  <c r="J18" i="267"/>
  <c r="I18" i="267"/>
  <c r="H18" i="267"/>
  <c r="I17" i="267"/>
  <c r="H17" i="267"/>
  <c r="J17" i="267" s="1"/>
  <c r="J53" i="266"/>
  <c r="J52" i="266"/>
  <c r="J51" i="266"/>
  <c r="J50" i="266"/>
  <c r="J49" i="266"/>
  <c r="J48" i="266"/>
  <c r="J47" i="266"/>
  <c r="J46" i="266"/>
  <c r="J29" i="266"/>
  <c r="I29" i="266"/>
  <c r="J28" i="266"/>
  <c r="I28" i="266"/>
  <c r="J27" i="266"/>
  <c r="I27" i="266"/>
  <c r="J25" i="266"/>
  <c r="K25" i="266" s="1"/>
  <c r="I25" i="266"/>
  <c r="J24" i="266"/>
  <c r="I24" i="266"/>
  <c r="J23" i="266"/>
  <c r="I23" i="266"/>
  <c r="I22" i="266"/>
  <c r="J21" i="266"/>
  <c r="I21" i="266"/>
  <c r="I20" i="266"/>
  <c r="H20" i="266"/>
  <c r="I19" i="266"/>
  <c r="H19" i="266"/>
  <c r="J19" i="266" s="1"/>
  <c r="J18" i="266"/>
  <c r="K18" i="266" s="1"/>
  <c r="I18" i="266"/>
  <c r="H18" i="266"/>
  <c r="I17" i="266"/>
  <c r="H17" i="266"/>
  <c r="J17" i="266" s="1"/>
  <c r="J53" i="265"/>
  <c r="J52" i="265"/>
  <c r="J51" i="265"/>
  <c r="J50" i="265"/>
  <c r="J49" i="265"/>
  <c r="J48" i="265"/>
  <c r="J47" i="265"/>
  <c r="J46" i="265"/>
  <c r="J29" i="265"/>
  <c r="I29" i="265"/>
  <c r="J28" i="265"/>
  <c r="I28" i="265"/>
  <c r="J27" i="265"/>
  <c r="I27" i="265"/>
  <c r="J25" i="265"/>
  <c r="I25" i="265"/>
  <c r="J24" i="265"/>
  <c r="I24" i="265"/>
  <c r="J23" i="265"/>
  <c r="I23" i="265"/>
  <c r="I22" i="265"/>
  <c r="J21" i="265"/>
  <c r="I21" i="265"/>
  <c r="I20" i="265"/>
  <c r="H20" i="265"/>
  <c r="I19" i="265"/>
  <c r="H19" i="265"/>
  <c r="J19" i="265" s="1"/>
  <c r="J18" i="265"/>
  <c r="K18" i="265" s="1"/>
  <c r="I18" i="265"/>
  <c r="H18" i="265"/>
  <c r="I17" i="265"/>
  <c r="H17" i="265"/>
  <c r="J17" i="265" s="1"/>
  <c r="J53" i="264"/>
  <c r="J52" i="264"/>
  <c r="J51" i="264"/>
  <c r="J50" i="264"/>
  <c r="J49" i="264"/>
  <c r="J48" i="264"/>
  <c r="J47" i="264"/>
  <c r="J46" i="264"/>
  <c r="J29" i="264"/>
  <c r="K29" i="264" s="1"/>
  <c r="I29" i="264"/>
  <c r="J28" i="264"/>
  <c r="I28" i="264"/>
  <c r="J27" i="264"/>
  <c r="I27" i="264"/>
  <c r="J25" i="264"/>
  <c r="I25" i="264"/>
  <c r="J24" i="264"/>
  <c r="I24" i="264"/>
  <c r="J23" i="264"/>
  <c r="I23" i="264"/>
  <c r="I22" i="264"/>
  <c r="J21" i="264"/>
  <c r="I21" i="264"/>
  <c r="I20" i="264"/>
  <c r="H20" i="264"/>
  <c r="I19" i="264"/>
  <c r="H19" i="264"/>
  <c r="J19" i="264" s="1"/>
  <c r="I18" i="264"/>
  <c r="H18" i="264"/>
  <c r="J18" i="264" s="1"/>
  <c r="J17" i="264"/>
  <c r="I17" i="264"/>
  <c r="H17" i="264"/>
  <c r="J53" i="262"/>
  <c r="J52" i="262"/>
  <c r="J51" i="262"/>
  <c r="J50" i="262"/>
  <c r="J49" i="262"/>
  <c r="J48" i="262"/>
  <c r="J47" i="262"/>
  <c r="J46" i="262"/>
  <c r="J29" i="262"/>
  <c r="K29" i="262" s="1"/>
  <c r="I29" i="262"/>
  <c r="J28" i="262"/>
  <c r="K28" i="262" s="1"/>
  <c r="I28" i="262"/>
  <c r="J27" i="262"/>
  <c r="I27" i="262"/>
  <c r="J25" i="262"/>
  <c r="K25" i="262" s="1"/>
  <c r="I25" i="262"/>
  <c r="J24" i="262"/>
  <c r="I24" i="262"/>
  <c r="J23" i="262"/>
  <c r="I23" i="262"/>
  <c r="I22" i="262"/>
  <c r="J21" i="262"/>
  <c r="K21" i="262" s="1"/>
  <c r="I21" i="262"/>
  <c r="I20" i="262"/>
  <c r="H20" i="262"/>
  <c r="I19" i="262"/>
  <c r="H19" i="262"/>
  <c r="J19" i="262" s="1"/>
  <c r="K19" i="262" s="1"/>
  <c r="I18" i="262"/>
  <c r="H18" i="262"/>
  <c r="J18" i="262" s="1"/>
  <c r="K18" i="262" s="1"/>
  <c r="I17" i="262"/>
  <c r="H17" i="262"/>
  <c r="J17" i="262" s="1"/>
  <c r="J53" i="261"/>
  <c r="J52" i="261"/>
  <c r="J51" i="261"/>
  <c r="J50" i="261"/>
  <c r="J49" i="261"/>
  <c r="J48" i="261"/>
  <c r="J47" i="261"/>
  <c r="J46" i="261"/>
  <c r="J29" i="261"/>
  <c r="I29" i="261"/>
  <c r="J28" i="261"/>
  <c r="I28" i="261"/>
  <c r="J27" i="261"/>
  <c r="I27" i="261"/>
  <c r="J25" i="261"/>
  <c r="K25" i="261" s="1"/>
  <c r="I25" i="261"/>
  <c r="J24" i="261"/>
  <c r="I24" i="261"/>
  <c r="J23" i="261"/>
  <c r="I23" i="261"/>
  <c r="I22" i="261"/>
  <c r="J21" i="261"/>
  <c r="I21" i="261"/>
  <c r="I20" i="261"/>
  <c r="H20" i="261"/>
  <c r="I19" i="261"/>
  <c r="H19" i="261"/>
  <c r="J19" i="261" s="1"/>
  <c r="K19" i="261" s="1"/>
  <c r="J18" i="261"/>
  <c r="I18" i="261"/>
  <c r="H18" i="261"/>
  <c r="I17" i="261"/>
  <c r="H17" i="261"/>
  <c r="J17" i="261" s="1"/>
  <c r="J53" i="260"/>
  <c r="J52" i="260"/>
  <c r="J51" i="260"/>
  <c r="J50" i="260"/>
  <c r="J49" i="260"/>
  <c r="J48" i="260"/>
  <c r="J47" i="260"/>
  <c r="J46" i="260"/>
  <c r="J29" i="260"/>
  <c r="I29" i="260"/>
  <c r="J28" i="260"/>
  <c r="I28" i="260"/>
  <c r="J27" i="260"/>
  <c r="I27" i="260"/>
  <c r="J25" i="260"/>
  <c r="K25" i="260" s="1"/>
  <c r="I25" i="260"/>
  <c r="J24" i="260"/>
  <c r="I24" i="260"/>
  <c r="J23" i="260"/>
  <c r="I23" i="260"/>
  <c r="I22" i="260"/>
  <c r="J21" i="260"/>
  <c r="I21" i="260"/>
  <c r="I20" i="260"/>
  <c r="H20" i="260"/>
  <c r="I19" i="260"/>
  <c r="H19" i="260"/>
  <c r="J19" i="260" s="1"/>
  <c r="J18" i="260"/>
  <c r="I18" i="260"/>
  <c r="H18" i="260"/>
  <c r="I17" i="260"/>
  <c r="H17" i="260"/>
  <c r="J17" i="260" s="1"/>
  <c r="J53" i="259"/>
  <c r="J52" i="259"/>
  <c r="J51" i="259"/>
  <c r="J50" i="259"/>
  <c r="J49" i="259"/>
  <c r="J48" i="259"/>
  <c r="J47" i="259"/>
  <c r="J46" i="259"/>
  <c r="J29" i="259"/>
  <c r="I29" i="259"/>
  <c r="J28" i="259"/>
  <c r="I28" i="259"/>
  <c r="J27" i="259"/>
  <c r="I27" i="259"/>
  <c r="J25" i="259"/>
  <c r="K25" i="259" s="1"/>
  <c r="I25" i="259"/>
  <c r="J24" i="259"/>
  <c r="K24" i="259" s="1"/>
  <c r="I24" i="259"/>
  <c r="J23" i="259"/>
  <c r="I23" i="259"/>
  <c r="I22" i="259"/>
  <c r="J21" i="259"/>
  <c r="I21" i="259"/>
  <c r="I20" i="259"/>
  <c r="H20" i="259"/>
  <c r="I19" i="259"/>
  <c r="H19" i="259"/>
  <c r="J19" i="259" s="1"/>
  <c r="K19" i="259" s="1"/>
  <c r="J18" i="259"/>
  <c r="I18" i="259"/>
  <c r="H18" i="259"/>
  <c r="I17" i="259"/>
  <c r="H17" i="259"/>
  <c r="J17" i="259" s="1"/>
  <c r="J53" i="258"/>
  <c r="J52" i="258"/>
  <c r="J51" i="258"/>
  <c r="J50" i="258"/>
  <c r="J49" i="258"/>
  <c r="J48" i="258"/>
  <c r="J47" i="258"/>
  <c r="J46" i="258"/>
  <c r="J29" i="258"/>
  <c r="I29" i="258"/>
  <c r="J28" i="258"/>
  <c r="I28" i="258"/>
  <c r="J27" i="258"/>
  <c r="I27" i="258"/>
  <c r="J25" i="258"/>
  <c r="K25" i="258" s="1"/>
  <c r="I25" i="258"/>
  <c r="J24" i="258"/>
  <c r="K24" i="258" s="1"/>
  <c r="I24" i="258"/>
  <c r="J23" i="258"/>
  <c r="I23" i="258"/>
  <c r="I22" i="258"/>
  <c r="J21" i="258"/>
  <c r="K21" i="258" s="1"/>
  <c r="I21" i="258"/>
  <c r="I20" i="258"/>
  <c r="H20" i="258"/>
  <c r="J20" i="258" s="1"/>
  <c r="K20" i="258" s="1"/>
  <c r="I19" i="258"/>
  <c r="H19" i="258"/>
  <c r="J19" i="258" s="1"/>
  <c r="K19" i="258" s="1"/>
  <c r="J18" i="258"/>
  <c r="I18" i="258"/>
  <c r="H18" i="258"/>
  <c r="I17" i="258"/>
  <c r="H17" i="258"/>
  <c r="J17" i="258" s="1"/>
  <c r="J53" i="257"/>
  <c r="J52" i="257"/>
  <c r="J51" i="257"/>
  <c r="J50" i="257"/>
  <c r="J49" i="257"/>
  <c r="J48" i="257"/>
  <c r="J47" i="257"/>
  <c r="J46" i="257"/>
  <c r="J29" i="257"/>
  <c r="I29" i="257"/>
  <c r="J28" i="257"/>
  <c r="I28" i="257"/>
  <c r="J27" i="257"/>
  <c r="I27" i="257"/>
  <c r="J25" i="257"/>
  <c r="K25" i="257" s="1"/>
  <c r="I25" i="257"/>
  <c r="J24" i="257"/>
  <c r="K24" i="257" s="1"/>
  <c r="I24" i="257"/>
  <c r="J23" i="257"/>
  <c r="I23" i="257"/>
  <c r="I22" i="257"/>
  <c r="J21" i="257"/>
  <c r="I21" i="257"/>
  <c r="I20" i="257"/>
  <c r="H20" i="257"/>
  <c r="I19" i="257"/>
  <c r="H19" i="257"/>
  <c r="J19" i="257" s="1"/>
  <c r="K19" i="257" s="1"/>
  <c r="I18" i="257"/>
  <c r="H18" i="257"/>
  <c r="J18" i="257" s="1"/>
  <c r="K18" i="257" s="1"/>
  <c r="I17" i="257"/>
  <c r="H17" i="257"/>
  <c r="J17" i="257" s="1"/>
  <c r="J53" i="256"/>
  <c r="J52" i="256"/>
  <c r="J51" i="256"/>
  <c r="J50" i="256"/>
  <c r="J49" i="256"/>
  <c r="J48" i="256"/>
  <c r="J47" i="256"/>
  <c r="J46" i="256"/>
  <c r="J29" i="256"/>
  <c r="K29" i="256" s="1"/>
  <c r="I29" i="256"/>
  <c r="J28" i="256"/>
  <c r="K28" i="256" s="1"/>
  <c r="I28" i="256"/>
  <c r="J27" i="256"/>
  <c r="I27" i="256"/>
  <c r="J25" i="256"/>
  <c r="K25" i="256" s="1"/>
  <c r="I25" i="256"/>
  <c r="J24" i="256"/>
  <c r="I24" i="256"/>
  <c r="J23" i="256"/>
  <c r="I23" i="256"/>
  <c r="I22" i="256"/>
  <c r="J21" i="256"/>
  <c r="K21" i="256" s="1"/>
  <c r="I21" i="256"/>
  <c r="I20" i="256"/>
  <c r="H20" i="256"/>
  <c r="I19" i="256"/>
  <c r="H19" i="256"/>
  <c r="J19" i="256" s="1"/>
  <c r="K19" i="256" s="1"/>
  <c r="I18" i="256"/>
  <c r="H18" i="256"/>
  <c r="J18" i="256" s="1"/>
  <c r="K18" i="256" s="1"/>
  <c r="J17" i="256"/>
  <c r="I17" i="256"/>
  <c r="H17" i="256"/>
  <c r="J53" i="255"/>
  <c r="J52" i="255"/>
  <c r="J51" i="255"/>
  <c r="J50" i="255"/>
  <c r="J49" i="255"/>
  <c r="J48" i="255"/>
  <c r="J47" i="255"/>
  <c r="J46" i="255"/>
  <c r="J29" i="255"/>
  <c r="I29" i="255"/>
  <c r="J28" i="255"/>
  <c r="K28" i="255" s="1"/>
  <c r="I28" i="255"/>
  <c r="J27" i="255"/>
  <c r="I27" i="255"/>
  <c r="J25" i="255"/>
  <c r="K25" i="255" s="1"/>
  <c r="I25" i="255"/>
  <c r="J24" i="255"/>
  <c r="I24" i="255"/>
  <c r="J23" i="255"/>
  <c r="I23" i="255"/>
  <c r="I22" i="255"/>
  <c r="J21" i="255"/>
  <c r="K21" i="255" s="1"/>
  <c r="I21" i="255"/>
  <c r="I20" i="255"/>
  <c r="H20" i="255"/>
  <c r="J20" i="255" s="1"/>
  <c r="I19" i="255"/>
  <c r="H19" i="255"/>
  <c r="J19" i="255" s="1"/>
  <c r="J18" i="255"/>
  <c r="I18" i="255"/>
  <c r="H18" i="255"/>
  <c r="I17" i="255"/>
  <c r="H17" i="255"/>
  <c r="J17" i="255" s="1"/>
  <c r="J53" i="254"/>
  <c r="J52" i="254"/>
  <c r="J51" i="254"/>
  <c r="J50" i="254"/>
  <c r="J49" i="254"/>
  <c r="J48" i="254"/>
  <c r="J47" i="254"/>
  <c r="J46" i="254"/>
  <c r="J29" i="254"/>
  <c r="I29" i="254"/>
  <c r="J28" i="254"/>
  <c r="I28" i="254"/>
  <c r="J27" i="254"/>
  <c r="I27" i="254"/>
  <c r="J25" i="254"/>
  <c r="K25" i="254" s="1"/>
  <c r="I25" i="254"/>
  <c r="J24" i="254"/>
  <c r="I24" i="254"/>
  <c r="J23" i="254"/>
  <c r="I23" i="254"/>
  <c r="I22" i="254"/>
  <c r="J21" i="254"/>
  <c r="I21" i="254"/>
  <c r="I20" i="254"/>
  <c r="H20" i="254"/>
  <c r="I19" i="254"/>
  <c r="H19" i="254"/>
  <c r="J19" i="254" s="1"/>
  <c r="I18" i="254"/>
  <c r="H18" i="254"/>
  <c r="J18" i="254" s="1"/>
  <c r="I17" i="254"/>
  <c r="H17" i="254"/>
  <c r="J17" i="254" s="1"/>
  <c r="J53" i="253"/>
  <c r="J52" i="253"/>
  <c r="J51" i="253"/>
  <c r="J50" i="253"/>
  <c r="J49" i="253"/>
  <c r="J48" i="253"/>
  <c r="J47" i="253"/>
  <c r="J46" i="253"/>
  <c r="J29" i="253"/>
  <c r="I29" i="253"/>
  <c r="J28" i="253"/>
  <c r="I28" i="253"/>
  <c r="J27" i="253"/>
  <c r="I27" i="253"/>
  <c r="J25" i="253"/>
  <c r="K25" i="253" s="1"/>
  <c r="I25" i="253"/>
  <c r="J24" i="253"/>
  <c r="K24" i="253" s="1"/>
  <c r="I24" i="253"/>
  <c r="J23" i="253"/>
  <c r="I23" i="253"/>
  <c r="I22" i="253"/>
  <c r="J21" i="253"/>
  <c r="I21" i="253"/>
  <c r="I20" i="253"/>
  <c r="H20" i="253"/>
  <c r="J20" i="253" s="1"/>
  <c r="K20" i="253" s="1"/>
  <c r="I19" i="253"/>
  <c r="H19" i="253"/>
  <c r="J19" i="253" s="1"/>
  <c r="J18" i="253"/>
  <c r="I18" i="253"/>
  <c r="H18" i="253"/>
  <c r="I17" i="253"/>
  <c r="H17" i="253"/>
  <c r="J17" i="253" s="1"/>
  <c r="J53" i="252"/>
  <c r="J52" i="252"/>
  <c r="J51" i="252"/>
  <c r="J50" i="252"/>
  <c r="J49" i="252"/>
  <c r="J48" i="252"/>
  <c r="J47" i="252"/>
  <c r="J46" i="252"/>
  <c r="J29" i="252"/>
  <c r="I29" i="252"/>
  <c r="J28" i="252"/>
  <c r="I28" i="252"/>
  <c r="J27" i="252"/>
  <c r="I27" i="252"/>
  <c r="J25" i="252"/>
  <c r="K25" i="252" s="1"/>
  <c r="I25" i="252"/>
  <c r="J24" i="252"/>
  <c r="K24" i="252" s="1"/>
  <c r="I24" i="252"/>
  <c r="J23" i="252"/>
  <c r="K23" i="252" s="1"/>
  <c r="I23" i="252"/>
  <c r="I22" i="252"/>
  <c r="J21" i="252"/>
  <c r="I21" i="252"/>
  <c r="I20" i="252"/>
  <c r="H20" i="252"/>
  <c r="J20" i="252" s="1"/>
  <c r="K20" i="252" s="1"/>
  <c r="I19" i="252"/>
  <c r="H19" i="252"/>
  <c r="J19" i="252" s="1"/>
  <c r="J18" i="252"/>
  <c r="I18" i="252"/>
  <c r="H18" i="252"/>
  <c r="I17" i="252"/>
  <c r="H17" i="252"/>
  <c r="J17" i="252" s="1"/>
  <c r="J53" i="251"/>
  <c r="J52" i="251"/>
  <c r="J51" i="251"/>
  <c r="J50" i="251"/>
  <c r="J49" i="251"/>
  <c r="J48" i="251"/>
  <c r="J47" i="251"/>
  <c r="J46" i="251"/>
  <c r="J29" i="251"/>
  <c r="I29" i="251"/>
  <c r="J28" i="251"/>
  <c r="I28" i="251"/>
  <c r="J27" i="251"/>
  <c r="I27" i="251"/>
  <c r="J25" i="251"/>
  <c r="K25" i="251" s="1"/>
  <c r="I25" i="251"/>
  <c r="J24" i="251"/>
  <c r="I24" i="251"/>
  <c r="J23" i="251"/>
  <c r="I23" i="251"/>
  <c r="I22" i="251"/>
  <c r="J21" i="251"/>
  <c r="I21" i="251"/>
  <c r="I20" i="251"/>
  <c r="H20" i="251"/>
  <c r="J20" i="251" s="1"/>
  <c r="K20" i="251" s="1"/>
  <c r="I19" i="251"/>
  <c r="H19" i="251"/>
  <c r="J19" i="251" s="1"/>
  <c r="K19" i="251" s="1"/>
  <c r="J18" i="251"/>
  <c r="I18" i="251"/>
  <c r="H18" i="251"/>
  <c r="I17" i="251"/>
  <c r="H17" i="251"/>
  <c r="J17" i="251" s="1"/>
  <c r="J53" i="250"/>
  <c r="J52" i="250"/>
  <c r="J51" i="250"/>
  <c r="J50" i="250"/>
  <c r="J49" i="250"/>
  <c r="J48" i="250"/>
  <c r="J47" i="250"/>
  <c r="J46" i="250"/>
  <c r="J29" i="250"/>
  <c r="I29" i="250"/>
  <c r="J28" i="250"/>
  <c r="I28" i="250"/>
  <c r="J27" i="250"/>
  <c r="I27" i="250"/>
  <c r="J25" i="250"/>
  <c r="K25" i="250" s="1"/>
  <c r="I25" i="250"/>
  <c r="J24" i="250"/>
  <c r="I24" i="250"/>
  <c r="J23" i="250"/>
  <c r="I23" i="250"/>
  <c r="I22" i="250"/>
  <c r="J21" i="250"/>
  <c r="I21" i="250"/>
  <c r="I20" i="250"/>
  <c r="H20" i="250"/>
  <c r="I19" i="250"/>
  <c r="H19" i="250"/>
  <c r="J19" i="250" s="1"/>
  <c r="K19" i="250" s="1"/>
  <c r="I18" i="250"/>
  <c r="H18" i="250"/>
  <c r="J18" i="250" s="1"/>
  <c r="K18" i="250" s="1"/>
  <c r="I17" i="250"/>
  <c r="H17" i="250"/>
  <c r="J17" i="250" s="1"/>
  <c r="J53" i="249"/>
  <c r="J52" i="249"/>
  <c r="J51" i="249"/>
  <c r="J50" i="249"/>
  <c r="J49" i="249"/>
  <c r="J48" i="249"/>
  <c r="J47" i="249"/>
  <c r="J46" i="249"/>
  <c r="J29" i="249"/>
  <c r="I29" i="249"/>
  <c r="J28" i="249"/>
  <c r="I28" i="249"/>
  <c r="J27" i="249"/>
  <c r="I27" i="249"/>
  <c r="J25" i="249"/>
  <c r="K25" i="249" s="1"/>
  <c r="I25" i="249"/>
  <c r="J24" i="249"/>
  <c r="I24" i="249"/>
  <c r="J23" i="249"/>
  <c r="I23" i="249"/>
  <c r="I22" i="249"/>
  <c r="J21" i="249"/>
  <c r="I21" i="249"/>
  <c r="I20" i="249"/>
  <c r="H20" i="249"/>
  <c r="I19" i="249"/>
  <c r="H19" i="249"/>
  <c r="J19" i="249" s="1"/>
  <c r="J18" i="249"/>
  <c r="I18" i="249"/>
  <c r="H18" i="249"/>
  <c r="I17" i="249"/>
  <c r="H17" i="249"/>
  <c r="J17" i="249" s="1"/>
  <c r="K27" i="256" l="1"/>
  <c r="K26" i="256" s="1"/>
  <c r="E11" i="256" s="1"/>
  <c r="K27" i="268"/>
  <c r="K27" i="267"/>
  <c r="K27" i="254"/>
  <c r="K27" i="266"/>
  <c r="K27" i="255"/>
  <c r="K27" i="249"/>
  <c r="K19" i="253"/>
  <c r="K19" i="260"/>
  <c r="K19" i="252"/>
  <c r="K19" i="264"/>
  <c r="K19" i="268"/>
  <c r="K19" i="272"/>
  <c r="K17" i="264"/>
  <c r="K18" i="254"/>
  <c r="K19" i="255"/>
  <c r="K27" i="260"/>
  <c r="K21" i="261"/>
  <c r="K21" i="249"/>
  <c r="K28" i="254"/>
  <c r="K26" i="254" s="1"/>
  <c r="E11" i="254" s="1"/>
  <c r="K29" i="255"/>
  <c r="K26" i="255" s="1"/>
  <c r="E11" i="255" s="1"/>
  <c r="K18" i="251"/>
  <c r="K21" i="259"/>
  <c r="K29" i="249"/>
  <c r="K27" i="271"/>
  <c r="K26" i="271" s="1"/>
  <c r="E11" i="271" s="1"/>
  <c r="K24" i="255"/>
  <c r="K28" i="258"/>
  <c r="K24" i="267"/>
  <c r="K21" i="264"/>
  <c r="K21" i="271"/>
  <c r="K21" i="257"/>
  <c r="K28" i="257"/>
  <c r="K29" i="258"/>
  <c r="K18" i="260"/>
  <c r="K24" i="266"/>
  <c r="K19" i="267"/>
  <c r="K25" i="267"/>
  <c r="K18" i="273"/>
  <c r="K27" i="259"/>
  <c r="K28" i="260"/>
  <c r="K23" i="268"/>
  <c r="K24" i="269"/>
  <c r="K28" i="273"/>
  <c r="K24" i="251"/>
  <c r="K21" i="254"/>
  <c r="K17" i="256"/>
  <c r="K16" i="256" s="1"/>
  <c r="K27" i="265"/>
  <c r="K28" i="266"/>
  <c r="K26" i="266" s="1"/>
  <c r="E11" i="266" s="1"/>
  <c r="K27" i="253"/>
  <c r="K24" i="256"/>
  <c r="K27" i="258"/>
  <c r="K24" i="268"/>
  <c r="K28" i="272"/>
  <c r="K29" i="273"/>
  <c r="K23" i="260"/>
  <c r="K21" i="265"/>
  <c r="K28" i="265"/>
  <c r="K23" i="249"/>
  <c r="K21" i="253"/>
  <c r="K29" i="259"/>
  <c r="K25" i="268"/>
  <c r="K22" i="268" s="1"/>
  <c r="E10" i="268" s="1"/>
  <c r="K29" i="272"/>
  <c r="K24" i="260"/>
  <c r="K28" i="264"/>
  <c r="K29" i="265"/>
  <c r="K27" i="269"/>
  <c r="K26" i="269" s="1"/>
  <c r="E11" i="269" s="1"/>
  <c r="K28" i="271"/>
  <c r="K24" i="273"/>
  <c r="K24" i="249"/>
  <c r="K28" i="252"/>
  <c r="K24" i="254"/>
  <c r="K19" i="249"/>
  <c r="K27" i="250"/>
  <c r="K26" i="250" s="1"/>
  <c r="E11" i="250" s="1"/>
  <c r="K21" i="251"/>
  <c r="K28" i="251"/>
  <c r="K29" i="252"/>
  <c r="K19" i="254"/>
  <c r="K20" i="255"/>
  <c r="K29" i="257"/>
  <c r="K18" i="259"/>
  <c r="K27" i="261"/>
  <c r="K24" i="265"/>
  <c r="K19" i="266"/>
  <c r="K18" i="252"/>
  <c r="K21" i="260"/>
  <c r="K25" i="264"/>
  <c r="K28" i="249"/>
  <c r="K29" i="267"/>
  <c r="K29" i="260"/>
  <c r="K21" i="272"/>
  <c r="K27" i="264"/>
  <c r="K29" i="266"/>
  <c r="K27" i="252"/>
  <c r="K26" i="252" s="1"/>
  <c r="E11" i="252" s="1"/>
  <c r="K27" i="257"/>
  <c r="K18" i="261"/>
  <c r="K18" i="255"/>
  <c r="K27" i="262"/>
  <c r="K26" i="262" s="1"/>
  <c r="E11" i="262" s="1"/>
  <c r="K27" i="251"/>
  <c r="K26" i="251" s="1"/>
  <c r="E11" i="251" s="1"/>
  <c r="K18" i="249"/>
  <c r="K29" i="250"/>
  <c r="K29" i="261"/>
  <c r="K27" i="272"/>
  <c r="K21" i="266"/>
  <c r="K28" i="259"/>
  <c r="K25" i="269"/>
  <c r="K24" i="250"/>
  <c r="K29" i="254"/>
  <c r="K24" i="261"/>
  <c r="K18" i="268"/>
  <c r="K28" i="253"/>
  <c r="K18" i="267"/>
  <c r="K21" i="252"/>
  <c r="K29" i="253"/>
  <c r="K21" i="250"/>
  <c r="K28" i="250"/>
  <c r="K29" i="251"/>
  <c r="K18" i="253"/>
  <c r="K18" i="258"/>
  <c r="K28" i="261"/>
  <c r="K18" i="264"/>
  <c r="K24" i="264"/>
  <c r="K19" i="265"/>
  <c r="K25" i="265"/>
  <c r="K24" i="271"/>
  <c r="K27" i="273"/>
  <c r="K26" i="268"/>
  <c r="E11" i="268" s="1"/>
  <c r="K24" i="262"/>
  <c r="J20" i="273"/>
  <c r="K20" i="273" s="1"/>
  <c r="J54" i="273"/>
  <c r="J55" i="273" s="1"/>
  <c r="B9" i="273" s="1"/>
  <c r="K17" i="273"/>
  <c r="K23" i="273"/>
  <c r="K22" i="273" s="1"/>
  <c r="E10" i="273" s="1"/>
  <c r="J20" i="272"/>
  <c r="K20" i="272" s="1"/>
  <c r="K17" i="272"/>
  <c r="J54" i="272"/>
  <c r="J55" i="272" s="1"/>
  <c r="B9" i="272" s="1"/>
  <c r="K23" i="272"/>
  <c r="K22" i="272" s="1"/>
  <c r="E10" i="272" s="1"/>
  <c r="J20" i="271"/>
  <c r="K20" i="271" s="1"/>
  <c r="K17" i="271"/>
  <c r="J54" i="271"/>
  <c r="J55" i="271" s="1"/>
  <c r="B9" i="271" s="1"/>
  <c r="K23" i="271"/>
  <c r="J20" i="269"/>
  <c r="K20" i="269" s="1"/>
  <c r="J54" i="269"/>
  <c r="J55" i="269" s="1"/>
  <c r="B9" i="269" s="1"/>
  <c r="K17" i="269"/>
  <c r="K16" i="269"/>
  <c r="K23" i="269"/>
  <c r="J20" i="268"/>
  <c r="K20" i="268" s="1"/>
  <c r="J55" i="268"/>
  <c r="B9" i="268" s="1"/>
  <c r="K17" i="268"/>
  <c r="J20" i="267"/>
  <c r="K20" i="267" s="1"/>
  <c r="J54" i="267"/>
  <c r="J55" i="267" s="1"/>
  <c r="B9" i="267" s="1"/>
  <c r="E5" i="267" s="1"/>
  <c r="K17" i="267"/>
  <c r="K23" i="267"/>
  <c r="J20" i="266"/>
  <c r="K20" i="266" s="1"/>
  <c r="J54" i="266"/>
  <c r="J55" i="266" s="1"/>
  <c r="B9" i="266" s="1"/>
  <c r="K17" i="266"/>
  <c r="K16" i="266"/>
  <c r="K23" i="266"/>
  <c r="K22" i="266" s="1"/>
  <c r="E10" i="266" s="1"/>
  <c r="J20" i="265"/>
  <c r="K20" i="265" s="1"/>
  <c r="J54" i="265"/>
  <c r="J55" i="265" s="1"/>
  <c r="B9" i="265" s="1"/>
  <c r="K17" i="265"/>
  <c r="K23" i="265"/>
  <c r="J20" i="264"/>
  <c r="K20" i="264" s="1"/>
  <c r="J54" i="264"/>
  <c r="J55" i="264" s="1"/>
  <c r="B9" i="264" s="1"/>
  <c r="K23" i="264"/>
  <c r="J20" i="262"/>
  <c r="K20" i="262" s="1"/>
  <c r="K17" i="262"/>
  <c r="J54" i="262"/>
  <c r="J55" i="262" s="1"/>
  <c r="B9" i="262" s="1"/>
  <c r="K23" i="262"/>
  <c r="K22" i="262" s="1"/>
  <c r="E10" i="262" s="1"/>
  <c r="J20" i="261"/>
  <c r="K20" i="261" s="1"/>
  <c r="K17" i="261"/>
  <c r="K16" i="261" s="1"/>
  <c r="J54" i="261"/>
  <c r="J55" i="261" s="1"/>
  <c r="B9" i="261" s="1"/>
  <c r="K23" i="261"/>
  <c r="J20" i="260"/>
  <c r="K20" i="260" s="1"/>
  <c r="J54" i="260"/>
  <c r="J55" i="260" s="1"/>
  <c r="B9" i="260" s="1"/>
  <c r="K17" i="260"/>
  <c r="J20" i="259"/>
  <c r="K20" i="259" s="1"/>
  <c r="K17" i="259"/>
  <c r="K23" i="259"/>
  <c r="K22" i="259" s="1"/>
  <c r="E10" i="259" s="1"/>
  <c r="J54" i="259"/>
  <c r="J55" i="259" s="1"/>
  <c r="B9" i="259" s="1"/>
  <c r="K17" i="258"/>
  <c r="K16" i="258" s="1"/>
  <c r="J54" i="258"/>
  <c r="J55" i="258" s="1"/>
  <c r="B9" i="258" s="1"/>
  <c r="K23" i="258"/>
  <c r="K22" i="258" s="1"/>
  <c r="E10" i="258" s="1"/>
  <c r="J20" i="257"/>
  <c r="K20" i="257" s="1"/>
  <c r="J54" i="257"/>
  <c r="J55" i="257" s="1"/>
  <c r="B9" i="257" s="1"/>
  <c r="K17" i="257"/>
  <c r="K23" i="257"/>
  <c r="K22" i="257" s="1"/>
  <c r="E10" i="257" s="1"/>
  <c r="J20" i="256"/>
  <c r="K20" i="256" s="1"/>
  <c r="J54" i="256"/>
  <c r="J55" i="256" s="1"/>
  <c r="B9" i="256" s="1"/>
  <c r="K23" i="256"/>
  <c r="J54" i="255"/>
  <c r="J55" i="255" s="1"/>
  <c r="B9" i="255" s="1"/>
  <c r="K17" i="255"/>
  <c r="K23" i="255"/>
  <c r="J20" i="254"/>
  <c r="K20" i="254" s="1"/>
  <c r="J54" i="254"/>
  <c r="J55" i="254" s="1"/>
  <c r="B9" i="254" s="1"/>
  <c r="K17" i="254"/>
  <c r="K23" i="254"/>
  <c r="J54" i="253"/>
  <c r="J55" i="253" s="1"/>
  <c r="B9" i="253" s="1"/>
  <c r="K17" i="253"/>
  <c r="K23" i="253"/>
  <c r="K22" i="253" s="1"/>
  <c r="E10" i="253" s="1"/>
  <c r="J54" i="252"/>
  <c r="J55" i="252" s="1"/>
  <c r="B9" i="252" s="1"/>
  <c r="K17" i="252"/>
  <c r="K22" i="252"/>
  <c r="E10" i="252" s="1"/>
  <c r="K17" i="251"/>
  <c r="K23" i="251"/>
  <c r="J54" i="251"/>
  <c r="J55" i="251" s="1"/>
  <c r="B9" i="251" s="1"/>
  <c r="J20" i="250"/>
  <c r="K20" i="250" s="1"/>
  <c r="J54" i="250"/>
  <c r="J55" i="250" s="1"/>
  <c r="B9" i="250" s="1"/>
  <c r="K17" i="250"/>
  <c r="K23" i="250"/>
  <c r="K22" i="250" s="1"/>
  <c r="E10" i="250" s="1"/>
  <c r="J20" i="249"/>
  <c r="K20" i="249" s="1"/>
  <c r="J54" i="249"/>
  <c r="J55" i="249" s="1"/>
  <c r="B9" i="249" s="1"/>
  <c r="K17" i="249"/>
  <c r="K22" i="249"/>
  <c r="E10" i="249" s="1"/>
  <c r="K26" i="267" l="1"/>
  <c r="E11" i="267" s="1"/>
  <c r="K26" i="260"/>
  <c r="E11" i="260" s="1"/>
  <c r="K16" i="260"/>
  <c r="K16" i="253"/>
  <c r="E9" i="253" s="1"/>
  <c r="K16" i="264"/>
  <c r="E9" i="264" s="1"/>
  <c r="K16" i="252"/>
  <c r="E9" i="252" s="1"/>
  <c r="K22" i="256"/>
  <c r="E10" i="256" s="1"/>
  <c r="K16" i="259"/>
  <c r="E9" i="259" s="1"/>
  <c r="K22" i="254"/>
  <c r="E10" i="254" s="1"/>
  <c r="K16" i="250"/>
  <c r="E9" i="250" s="1"/>
  <c r="K26" i="272"/>
  <c r="E11" i="272" s="1"/>
  <c r="K16" i="272"/>
  <c r="K16" i="257"/>
  <c r="E9" i="257" s="1"/>
  <c r="K26" i="273"/>
  <c r="E11" i="273" s="1"/>
  <c r="K26" i="253"/>
  <c r="E11" i="253" s="1"/>
  <c r="K26" i="261"/>
  <c r="E11" i="261" s="1"/>
  <c r="K16" i="254"/>
  <c r="K16" i="273"/>
  <c r="E9" i="273" s="1"/>
  <c r="K22" i="251"/>
  <c r="E10" i="251" s="1"/>
  <c r="K16" i="265"/>
  <c r="K26" i="264"/>
  <c r="E11" i="264" s="1"/>
  <c r="K16" i="268"/>
  <c r="E9" i="268" s="1"/>
  <c r="K16" i="249"/>
  <c r="K26" i="249"/>
  <c r="E11" i="249" s="1"/>
  <c r="K22" i="260"/>
  <c r="E10" i="260" s="1"/>
  <c r="K26" i="258"/>
  <c r="E11" i="258" s="1"/>
  <c r="K26" i="259"/>
  <c r="E11" i="259" s="1"/>
  <c r="K22" i="264"/>
  <c r="E10" i="264" s="1"/>
  <c r="K22" i="269"/>
  <c r="E10" i="269" s="1"/>
  <c r="K22" i="267"/>
  <c r="E10" i="267" s="1"/>
  <c r="K16" i="267"/>
  <c r="E9" i="267" s="1"/>
  <c r="K22" i="271"/>
  <c r="E10" i="271" s="1"/>
  <c r="K26" i="265"/>
  <c r="E11" i="265" s="1"/>
  <c r="K22" i="255"/>
  <c r="E10" i="255" s="1"/>
  <c r="K22" i="261"/>
  <c r="E10" i="261" s="1"/>
  <c r="K16" i="251"/>
  <c r="K16" i="255"/>
  <c r="E9" i="255" s="1"/>
  <c r="K22" i="265"/>
  <c r="E10" i="265" s="1"/>
  <c r="K16" i="271"/>
  <c r="E9" i="271" s="1"/>
  <c r="K26" i="257"/>
  <c r="E11" i="257" s="1"/>
  <c r="K16" i="262"/>
  <c r="E9" i="262" s="1"/>
  <c r="E9" i="272"/>
  <c r="E9" i="269"/>
  <c r="E9" i="266"/>
  <c r="E9" i="265"/>
  <c r="E9" i="261"/>
  <c r="E9" i="260"/>
  <c r="E9" i="258"/>
  <c r="E9" i="256"/>
  <c r="E9" i="249"/>
  <c r="E9" i="254" l="1"/>
  <c r="E9" i="251"/>
  <c r="D34" i="6"/>
  <c r="E34" i="6"/>
  <c r="J53" i="248" l="1"/>
  <c r="J52" i="248"/>
  <c r="J51" i="248"/>
  <c r="J50" i="248"/>
  <c r="J49" i="248"/>
  <c r="J48" i="248"/>
  <c r="J47" i="248"/>
  <c r="J46" i="248"/>
  <c r="J29" i="248"/>
  <c r="I29" i="248"/>
  <c r="J28" i="248"/>
  <c r="I28" i="248"/>
  <c r="J27" i="248"/>
  <c r="I27" i="248"/>
  <c r="J25" i="248"/>
  <c r="K25" i="248" s="1"/>
  <c r="I25" i="248"/>
  <c r="J24" i="248"/>
  <c r="I24" i="248"/>
  <c r="J23" i="248"/>
  <c r="I23" i="248"/>
  <c r="I22" i="248"/>
  <c r="J21" i="248"/>
  <c r="I21" i="248"/>
  <c r="I20" i="248"/>
  <c r="H20" i="248"/>
  <c r="I19" i="248"/>
  <c r="H19" i="248"/>
  <c r="J19" i="248" s="1"/>
  <c r="J18" i="248"/>
  <c r="I18" i="248"/>
  <c r="H18" i="248"/>
  <c r="I17" i="248"/>
  <c r="H17" i="248"/>
  <c r="J17" i="248" s="1"/>
  <c r="J53" i="247"/>
  <c r="J52" i="247"/>
  <c r="J51" i="247"/>
  <c r="J50" i="247"/>
  <c r="J49" i="247"/>
  <c r="J48" i="247"/>
  <c r="J47" i="247"/>
  <c r="J46" i="247"/>
  <c r="J29" i="247"/>
  <c r="I29" i="247"/>
  <c r="J28" i="247"/>
  <c r="I28" i="247"/>
  <c r="J27" i="247"/>
  <c r="I27" i="247"/>
  <c r="J25" i="247"/>
  <c r="K25" i="247" s="1"/>
  <c r="I25" i="247"/>
  <c r="J24" i="247"/>
  <c r="I24" i="247"/>
  <c r="J23" i="247"/>
  <c r="I23" i="247"/>
  <c r="I22" i="247"/>
  <c r="J21" i="247"/>
  <c r="I21" i="247"/>
  <c r="I20" i="247"/>
  <c r="H20" i="247"/>
  <c r="I19" i="247"/>
  <c r="H19" i="247"/>
  <c r="J19" i="247" s="1"/>
  <c r="J18" i="247"/>
  <c r="I18" i="247"/>
  <c r="H18" i="247"/>
  <c r="I17" i="247"/>
  <c r="H17" i="247"/>
  <c r="J17" i="247" s="1"/>
  <c r="J53" i="246"/>
  <c r="J52" i="246"/>
  <c r="J51" i="246"/>
  <c r="J50" i="246"/>
  <c r="J49" i="246"/>
  <c r="J48" i="246"/>
  <c r="J47" i="246"/>
  <c r="J46" i="246"/>
  <c r="J29" i="246"/>
  <c r="I29" i="246"/>
  <c r="J28" i="246"/>
  <c r="I28" i="246"/>
  <c r="J27" i="246"/>
  <c r="I27" i="246"/>
  <c r="J25" i="246"/>
  <c r="K25" i="246" s="1"/>
  <c r="I25" i="246"/>
  <c r="J24" i="246"/>
  <c r="I24" i="246"/>
  <c r="J23" i="246"/>
  <c r="I23" i="246"/>
  <c r="I22" i="246"/>
  <c r="J21" i="246"/>
  <c r="I21" i="246"/>
  <c r="I20" i="246"/>
  <c r="H20" i="246"/>
  <c r="I19" i="246"/>
  <c r="H19" i="246"/>
  <c r="J19" i="246" s="1"/>
  <c r="K19" i="246" s="1"/>
  <c r="I18" i="246"/>
  <c r="H18" i="246"/>
  <c r="J18" i="246" s="1"/>
  <c r="I17" i="246"/>
  <c r="H17" i="246"/>
  <c r="J17" i="246" s="1"/>
  <c r="J53" i="245"/>
  <c r="J52" i="245"/>
  <c r="J51" i="245"/>
  <c r="J50" i="245"/>
  <c r="J49" i="245"/>
  <c r="J48" i="245"/>
  <c r="J47" i="245"/>
  <c r="J46" i="245"/>
  <c r="J29" i="245"/>
  <c r="I29" i="245"/>
  <c r="J28" i="245"/>
  <c r="I28" i="245"/>
  <c r="J27" i="245"/>
  <c r="I27" i="245"/>
  <c r="J25" i="245"/>
  <c r="K25" i="245" s="1"/>
  <c r="I25" i="245"/>
  <c r="J24" i="245"/>
  <c r="I24" i="245"/>
  <c r="J23" i="245"/>
  <c r="I23" i="245"/>
  <c r="I22" i="245"/>
  <c r="J21" i="245"/>
  <c r="I21" i="245"/>
  <c r="I20" i="245"/>
  <c r="H20" i="245"/>
  <c r="I19" i="245"/>
  <c r="H19" i="245"/>
  <c r="J19" i="245" s="1"/>
  <c r="J18" i="245"/>
  <c r="I18" i="245"/>
  <c r="H18" i="245"/>
  <c r="I17" i="245"/>
  <c r="H17" i="245"/>
  <c r="J17" i="245" s="1"/>
  <c r="J53" i="244"/>
  <c r="J52" i="244"/>
  <c r="J51" i="244"/>
  <c r="J50" i="244"/>
  <c r="J49" i="244"/>
  <c r="J48" i="244"/>
  <c r="J47" i="244"/>
  <c r="J46" i="244"/>
  <c r="J29" i="244"/>
  <c r="I29" i="244"/>
  <c r="J28" i="244"/>
  <c r="I28" i="244"/>
  <c r="J27" i="244"/>
  <c r="I27" i="244"/>
  <c r="J25" i="244"/>
  <c r="K25" i="244" s="1"/>
  <c r="I25" i="244"/>
  <c r="J24" i="244"/>
  <c r="I24" i="244"/>
  <c r="J23" i="244"/>
  <c r="I23" i="244"/>
  <c r="I22" i="244"/>
  <c r="J21" i="244"/>
  <c r="I21" i="244"/>
  <c r="I20" i="244"/>
  <c r="H20" i="244"/>
  <c r="I19" i="244"/>
  <c r="H19" i="244"/>
  <c r="J19" i="244" s="1"/>
  <c r="J18" i="244"/>
  <c r="I18" i="244"/>
  <c r="H18" i="244"/>
  <c r="I17" i="244"/>
  <c r="H17" i="244"/>
  <c r="J17" i="244" s="1"/>
  <c r="J53" i="243"/>
  <c r="J52" i="243"/>
  <c r="J51" i="243"/>
  <c r="J50" i="243"/>
  <c r="J49" i="243"/>
  <c r="J48" i="243"/>
  <c r="J47" i="243"/>
  <c r="J46" i="243"/>
  <c r="J29" i="243"/>
  <c r="I29" i="243"/>
  <c r="J28" i="243"/>
  <c r="I28" i="243"/>
  <c r="J27" i="243"/>
  <c r="I27" i="243"/>
  <c r="J25" i="243"/>
  <c r="K25" i="243" s="1"/>
  <c r="I25" i="243"/>
  <c r="J24" i="243"/>
  <c r="I24" i="243"/>
  <c r="J23" i="243"/>
  <c r="I23" i="243"/>
  <c r="I22" i="243"/>
  <c r="J21" i="243"/>
  <c r="I21" i="243"/>
  <c r="I20" i="243"/>
  <c r="H20" i="243"/>
  <c r="J20" i="243" s="1"/>
  <c r="J19" i="243"/>
  <c r="I19" i="243"/>
  <c r="H19" i="243"/>
  <c r="I18" i="243"/>
  <c r="H18" i="243"/>
  <c r="J18" i="243" s="1"/>
  <c r="K18" i="243" s="1"/>
  <c r="I17" i="243"/>
  <c r="H17" i="243"/>
  <c r="J17" i="243" s="1"/>
  <c r="J53" i="242"/>
  <c r="J52" i="242"/>
  <c r="J51" i="242"/>
  <c r="J50" i="242"/>
  <c r="J49" i="242"/>
  <c r="J48" i="242"/>
  <c r="J47" i="242"/>
  <c r="J46" i="242"/>
  <c r="J29" i="242"/>
  <c r="I29" i="242"/>
  <c r="J28" i="242"/>
  <c r="I28" i="242"/>
  <c r="J27" i="242"/>
  <c r="I27" i="242"/>
  <c r="J25" i="242"/>
  <c r="K25" i="242" s="1"/>
  <c r="I25" i="242"/>
  <c r="J24" i="242"/>
  <c r="I24" i="242"/>
  <c r="J23" i="242"/>
  <c r="I23" i="242"/>
  <c r="I22" i="242"/>
  <c r="J21" i="242"/>
  <c r="I21" i="242"/>
  <c r="I20" i="242"/>
  <c r="H20" i="242"/>
  <c r="I19" i="242"/>
  <c r="H19" i="242"/>
  <c r="J19" i="242" s="1"/>
  <c r="I18" i="242"/>
  <c r="H18" i="242"/>
  <c r="J18" i="242" s="1"/>
  <c r="K18" i="242" s="1"/>
  <c r="I17" i="242"/>
  <c r="H17" i="242"/>
  <c r="J17" i="242" s="1"/>
  <c r="J53" i="241"/>
  <c r="J52" i="241"/>
  <c r="J51" i="241"/>
  <c r="J50" i="241"/>
  <c r="J49" i="241"/>
  <c r="J48" i="241"/>
  <c r="J47" i="241"/>
  <c r="J46" i="241"/>
  <c r="J29" i="241"/>
  <c r="I29" i="241"/>
  <c r="J28" i="241"/>
  <c r="I28" i="241"/>
  <c r="J27" i="241"/>
  <c r="I27" i="241"/>
  <c r="J25" i="241"/>
  <c r="K25" i="241" s="1"/>
  <c r="I25" i="241"/>
  <c r="J24" i="241"/>
  <c r="K24" i="241" s="1"/>
  <c r="I24" i="241"/>
  <c r="J23" i="241"/>
  <c r="I23" i="241"/>
  <c r="I22" i="241"/>
  <c r="J21" i="241"/>
  <c r="I21" i="241"/>
  <c r="I20" i="241"/>
  <c r="H20" i="241"/>
  <c r="J20" i="241" s="1"/>
  <c r="I19" i="241"/>
  <c r="H19" i="241"/>
  <c r="J19" i="241" s="1"/>
  <c r="I18" i="241"/>
  <c r="H18" i="241"/>
  <c r="J18" i="241" s="1"/>
  <c r="I17" i="241"/>
  <c r="H17" i="241"/>
  <c r="J17" i="241" s="1"/>
  <c r="J48" i="240"/>
  <c r="J53" i="240"/>
  <c r="J52" i="240"/>
  <c r="J51" i="240"/>
  <c r="J50" i="240"/>
  <c r="J49" i="240"/>
  <c r="J47" i="240"/>
  <c r="J46" i="240"/>
  <c r="J29" i="240"/>
  <c r="K29" i="240" s="1"/>
  <c r="I29" i="240"/>
  <c r="J28" i="240"/>
  <c r="I28" i="240"/>
  <c r="J27" i="240"/>
  <c r="I27" i="240"/>
  <c r="J25" i="240"/>
  <c r="K25" i="240" s="1"/>
  <c r="I25" i="240"/>
  <c r="J24" i="240"/>
  <c r="I24" i="240"/>
  <c r="J23" i="240"/>
  <c r="I23" i="240"/>
  <c r="I22" i="240"/>
  <c r="J21" i="240"/>
  <c r="I21" i="240"/>
  <c r="I20" i="240"/>
  <c r="H20" i="240"/>
  <c r="J20" i="240" s="1"/>
  <c r="K20" i="240" s="1"/>
  <c r="I19" i="240"/>
  <c r="H19" i="240"/>
  <c r="J19" i="240" s="1"/>
  <c r="K19" i="240" s="1"/>
  <c r="J18" i="240"/>
  <c r="I18" i="240"/>
  <c r="H18" i="240"/>
  <c r="I17" i="240"/>
  <c r="H17" i="240"/>
  <c r="J17" i="240" s="1"/>
  <c r="J53" i="239"/>
  <c r="J52" i="239"/>
  <c r="J51" i="239"/>
  <c r="J50" i="239"/>
  <c r="J49" i="239"/>
  <c r="J48" i="239"/>
  <c r="J47" i="239"/>
  <c r="J46" i="239"/>
  <c r="J29" i="239"/>
  <c r="I29" i="239"/>
  <c r="J28" i="239"/>
  <c r="K28" i="239" s="1"/>
  <c r="I28" i="239"/>
  <c r="J27" i="239"/>
  <c r="I27" i="239"/>
  <c r="J25" i="239"/>
  <c r="K25" i="239" s="1"/>
  <c r="I25" i="239"/>
  <c r="J24" i="239"/>
  <c r="I24" i="239"/>
  <c r="J23" i="239"/>
  <c r="I23" i="239"/>
  <c r="I22" i="239"/>
  <c r="J21" i="239"/>
  <c r="K21" i="239" s="1"/>
  <c r="I21" i="239"/>
  <c r="I20" i="239"/>
  <c r="H20" i="239"/>
  <c r="J20" i="239" s="1"/>
  <c r="K20" i="239" s="1"/>
  <c r="I19" i="239"/>
  <c r="H19" i="239"/>
  <c r="J19" i="239" s="1"/>
  <c r="K19" i="239" s="1"/>
  <c r="J18" i="239"/>
  <c r="I18" i="239"/>
  <c r="H18" i="239"/>
  <c r="I17" i="239"/>
  <c r="H17" i="239"/>
  <c r="J17" i="239" s="1"/>
  <c r="J53" i="238"/>
  <c r="J52" i="238"/>
  <c r="J51" i="238"/>
  <c r="J50" i="238"/>
  <c r="J49" i="238"/>
  <c r="J48" i="238"/>
  <c r="J47" i="238"/>
  <c r="J46" i="238"/>
  <c r="J29" i="238"/>
  <c r="I29" i="238"/>
  <c r="J28" i="238"/>
  <c r="I28" i="238"/>
  <c r="J27" i="238"/>
  <c r="I27" i="238"/>
  <c r="J25" i="238"/>
  <c r="I25" i="238"/>
  <c r="J24" i="238"/>
  <c r="I24" i="238"/>
  <c r="J23" i="238"/>
  <c r="I23" i="238"/>
  <c r="I22" i="238"/>
  <c r="J21" i="238"/>
  <c r="I21" i="238"/>
  <c r="I20" i="238"/>
  <c r="H20" i="238"/>
  <c r="I19" i="238"/>
  <c r="H19" i="238"/>
  <c r="J19" i="238" s="1"/>
  <c r="K19" i="238" s="1"/>
  <c r="I18" i="238"/>
  <c r="H18" i="238"/>
  <c r="J18" i="238" s="1"/>
  <c r="K18" i="238" s="1"/>
  <c r="I17" i="238"/>
  <c r="H17" i="238"/>
  <c r="J17" i="238" s="1"/>
  <c r="J53" i="237"/>
  <c r="J52" i="237"/>
  <c r="J51" i="237"/>
  <c r="J50" i="237"/>
  <c r="J49" i="237"/>
  <c r="J48" i="237"/>
  <c r="J47" i="237"/>
  <c r="J46" i="237"/>
  <c r="J29" i="237"/>
  <c r="I29" i="237"/>
  <c r="J28" i="237"/>
  <c r="I28" i="237"/>
  <c r="J27" i="237"/>
  <c r="I27" i="237"/>
  <c r="J25" i="237"/>
  <c r="K25" i="237" s="1"/>
  <c r="I25" i="237"/>
  <c r="J24" i="237"/>
  <c r="I24" i="237"/>
  <c r="J23" i="237"/>
  <c r="I23" i="237"/>
  <c r="I22" i="237"/>
  <c r="J21" i="237"/>
  <c r="I21" i="237"/>
  <c r="I20" i="237"/>
  <c r="H20" i="237"/>
  <c r="J20" i="237" s="1"/>
  <c r="K20" i="237" s="1"/>
  <c r="I19" i="237"/>
  <c r="H19" i="237"/>
  <c r="J19" i="237" s="1"/>
  <c r="J18" i="237"/>
  <c r="I18" i="237"/>
  <c r="H18" i="237"/>
  <c r="I17" i="237"/>
  <c r="H17" i="237"/>
  <c r="J17" i="237" s="1"/>
  <c r="J53" i="236"/>
  <c r="J52" i="236"/>
  <c r="J51" i="236"/>
  <c r="J50" i="236"/>
  <c r="J49" i="236"/>
  <c r="J48" i="236"/>
  <c r="J47" i="236"/>
  <c r="J46" i="236"/>
  <c r="J29" i="236"/>
  <c r="I29" i="236"/>
  <c r="J28" i="236"/>
  <c r="I28" i="236"/>
  <c r="J27" i="236"/>
  <c r="I27" i="236"/>
  <c r="J25" i="236"/>
  <c r="K25" i="236" s="1"/>
  <c r="I25" i="236"/>
  <c r="J24" i="236"/>
  <c r="K24" i="236" s="1"/>
  <c r="I24" i="236"/>
  <c r="J23" i="236"/>
  <c r="I23" i="236"/>
  <c r="I22" i="236"/>
  <c r="J21" i="236"/>
  <c r="I21" i="236"/>
  <c r="I20" i="236"/>
  <c r="H20" i="236"/>
  <c r="J20" i="236" s="1"/>
  <c r="I19" i="236"/>
  <c r="H19" i="236"/>
  <c r="J19" i="236" s="1"/>
  <c r="K19" i="236" s="1"/>
  <c r="J18" i="236"/>
  <c r="I18" i="236"/>
  <c r="H18" i="236"/>
  <c r="I17" i="236"/>
  <c r="H17" i="236"/>
  <c r="J17" i="236" s="1"/>
  <c r="K27" i="243" l="1"/>
  <c r="K19" i="241"/>
  <c r="K16" i="241" s="1"/>
  <c r="K19" i="245"/>
  <c r="K29" i="241"/>
  <c r="K18" i="248"/>
  <c r="K24" i="248"/>
  <c r="K25" i="238"/>
  <c r="K29" i="246"/>
  <c r="K27" i="244"/>
  <c r="K26" i="244" s="1"/>
  <c r="E11" i="244" s="1"/>
  <c r="K21" i="245"/>
  <c r="K28" i="245"/>
  <c r="K24" i="247"/>
  <c r="K18" i="237"/>
  <c r="K18" i="247"/>
  <c r="K29" i="236"/>
  <c r="K24" i="242"/>
  <c r="K23" i="236"/>
  <c r="K19" i="237"/>
  <c r="K18" i="241"/>
  <c r="K18" i="246"/>
  <c r="K19" i="247"/>
  <c r="K27" i="245"/>
  <c r="K20" i="236"/>
  <c r="K20" i="241"/>
  <c r="K28" i="244"/>
  <c r="K21" i="238"/>
  <c r="K28" i="238"/>
  <c r="K27" i="248"/>
  <c r="K24" i="240"/>
  <c r="K29" i="244"/>
  <c r="K29" i="238"/>
  <c r="K21" i="242"/>
  <c r="K24" i="245"/>
  <c r="K27" i="247"/>
  <c r="K28" i="248"/>
  <c r="K18" i="245"/>
  <c r="K21" i="247"/>
  <c r="K28" i="247"/>
  <c r="K29" i="248"/>
  <c r="K28" i="236"/>
  <c r="K29" i="237"/>
  <c r="K24" i="238"/>
  <c r="K21" i="241"/>
  <c r="K28" i="241"/>
  <c r="K24" i="243"/>
  <c r="K18" i="244"/>
  <c r="K27" i="240"/>
  <c r="K26" i="240" s="1"/>
  <c r="E11" i="240" s="1"/>
  <c r="K19" i="244"/>
  <c r="K21" i="246"/>
  <c r="K28" i="246"/>
  <c r="K29" i="247"/>
  <c r="K29" i="239"/>
  <c r="K27" i="242"/>
  <c r="K27" i="237"/>
  <c r="K18" i="240"/>
  <c r="K28" i="242"/>
  <c r="K26" i="242" s="1"/>
  <c r="E11" i="242" s="1"/>
  <c r="K21" i="237"/>
  <c r="K24" i="244"/>
  <c r="K21" i="236"/>
  <c r="K29" i="245"/>
  <c r="K27" i="236"/>
  <c r="K26" i="236" s="1"/>
  <c r="E11" i="236" s="1"/>
  <c r="K18" i="239"/>
  <c r="K27" i="246"/>
  <c r="K26" i="246" s="1"/>
  <c r="E11" i="246" s="1"/>
  <c r="K24" i="237"/>
  <c r="K27" i="239"/>
  <c r="K26" i="239" s="1"/>
  <c r="E11" i="239" s="1"/>
  <c r="K21" i="240"/>
  <c r="K28" i="240"/>
  <c r="K19" i="243"/>
  <c r="K18" i="236"/>
  <c r="K21" i="244"/>
  <c r="K24" i="246"/>
  <c r="K21" i="243"/>
  <c r="K28" i="243"/>
  <c r="K26" i="243" s="1"/>
  <c r="E11" i="243" s="1"/>
  <c r="K21" i="248"/>
  <c r="K28" i="237"/>
  <c r="K24" i="239"/>
  <c r="K29" i="243"/>
  <c r="K29" i="242"/>
  <c r="K19" i="242"/>
  <c r="K20" i="243"/>
  <c r="K19" i="248"/>
  <c r="K27" i="241"/>
  <c r="K26" i="241" s="1"/>
  <c r="E11" i="241" s="1"/>
  <c r="J20" i="248"/>
  <c r="K20" i="248" s="1"/>
  <c r="K17" i="248"/>
  <c r="K23" i="248"/>
  <c r="K22" i="248" s="1"/>
  <c r="E10" i="248" s="1"/>
  <c r="J54" i="248"/>
  <c r="J55" i="248" s="1"/>
  <c r="B9" i="248" s="1"/>
  <c r="K17" i="247"/>
  <c r="J20" i="247"/>
  <c r="K20" i="247" s="1"/>
  <c r="K16" i="247" s="1"/>
  <c r="J54" i="247"/>
  <c r="J55" i="247" s="1"/>
  <c r="B9" i="247" s="1"/>
  <c r="K23" i="247"/>
  <c r="J20" i="246"/>
  <c r="K20" i="246" s="1"/>
  <c r="K17" i="246"/>
  <c r="K23" i="246"/>
  <c r="J54" i="246"/>
  <c r="J55" i="246" s="1"/>
  <c r="B9" i="246" s="1"/>
  <c r="J20" i="245"/>
  <c r="K20" i="245" s="1"/>
  <c r="J54" i="245"/>
  <c r="J55" i="245" s="1"/>
  <c r="B9" i="245" s="1"/>
  <c r="K17" i="245"/>
  <c r="K23" i="245"/>
  <c r="J20" i="244"/>
  <c r="K20" i="244" s="1"/>
  <c r="J54" i="244"/>
  <c r="J55" i="244" s="1"/>
  <c r="B9" i="244" s="1"/>
  <c r="K17" i="244"/>
  <c r="K23" i="244"/>
  <c r="J54" i="243"/>
  <c r="J55" i="243" s="1"/>
  <c r="B9" i="243" s="1"/>
  <c r="K17" i="243"/>
  <c r="K23" i="243"/>
  <c r="J20" i="242"/>
  <c r="K20" i="242" s="1"/>
  <c r="K17" i="242"/>
  <c r="K23" i="242"/>
  <c r="K22" i="242" s="1"/>
  <c r="E10" i="242" s="1"/>
  <c r="J54" i="242"/>
  <c r="J55" i="242" s="1"/>
  <c r="B9" i="242" s="1"/>
  <c r="K17" i="241"/>
  <c r="J54" i="241"/>
  <c r="J55" i="241" s="1"/>
  <c r="B9" i="241" s="1"/>
  <c r="K23" i="241"/>
  <c r="K22" i="241" s="1"/>
  <c r="E10" i="241" s="1"/>
  <c r="J54" i="240"/>
  <c r="J55" i="240" s="1"/>
  <c r="B9" i="240" s="1"/>
  <c r="K17" i="240"/>
  <c r="K16" i="240" s="1"/>
  <c r="K23" i="240"/>
  <c r="K22" i="240" s="1"/>
  <c r="E10" i="240" s="1"/>
  <c r="K17" i="239"/>
  <c r="J54" i="239"/>
  <c r="J55" i="239" s="1"/>
  <c r="B9" i="239" s="1"/>
  <c r="K23" i="239"/>
  <c r="K22" i="239" s="1"/>
  <c r="E10" i="239" s="1"/>
  <c r="J20" i="238"/>
  <c r="K20" i="238" s="1"/>
  <c r="K17" i="238"/>
  <c r="K16" i="238" s="1"/>
  <c r="J54" i="238"/>
  <c r="J55" i="238" s="1"/>
  <c r="B9" i="238" s="1"/>
  <c r="K27" i="238"/>
  <c r="K23" i="238"/>
  <c r="K17" i="237"/>
  <c r="J54" i="237"/>
  <c r="J55" i="237" s="1"/>
  <c r="B9" i="237" s="1"/>
  <c r="K23" i="237"/>
  <c r="K22" i="237" s="1"/>
  <c r="E10" i="237" s="1"/>
  <c r="J54" i="236"/>
  <c r="J55" i="236" s="1"/>
  <c r="B9" i="236" s="1"/>
  <c r="K17" i="236"/>
  <c r="K22" i="236"/>
  <c r="E10" i="236" s="1"/>
  <c r="K26" i="245" l="1"/>
  <c r="E11" i="245" s="1"/>
  <c r="K16" i="239"/>
  <c r="E9" i="239" s="1"/>
  <c r="K16" i="244"/>
  <c r="E9" i="244" s="1"/>
  <c r="K16" i="245"/>
  <c r="K26" i="247"/>
  <c r="E11" i="247" s="1"/>
  <c r="K26" i="248"/>
  <c r="E11" i="248" s="1"/>
  <c r="K16" i="237"/>
  <c r="E9" i="237" s="1"/>
  <c r="K16" i="246"/>
  <c r="E9" i="246" s="1"/>
  <c r="K26" i="237"/>
  <c r="E11" i="237" s="1"/>
  <c r="K22" i="247"/>
  <c r="E10" i="247" s="1"/>
  <c r="K16" i="242"/>
  <c r="E9" i="242" s="1"/>
  <c r="K22" i="243"/>
  <c r="E10" i="243" s="1"/>
  <c r="K16" i="248"/>
  <c r="K16" i="243"/>
  <c r="E9" i="243" s="1"/>
  <c r="K22" i="238"/>
  <c r="E10" i="238" s="1"/>
  <c r="K22" i="246"/>
  <c r="E10" i="246" s="1"/>
  <c r="K16" i="236"/>
  <c r="E9" i="236" s="1"/>
  <c r="K22" i="245"/>
  <c r="E10" i="245" s="1"/>
  <c r="K26" i="238"/>
  <c r="E11" i="238" s="1"/>
  <c r="K22" i="244"/>
  <c r="E10" i="244" s="1"/>
  <c r="E9" i="247"/>
  <c r="E9" i="245"/>
  <c r="E9" i="241"/>
  <c r="E9" i="240"/>
  <c r="E9" i="238"/>
  <c r="E9" i="248" l="1"/>
  <c r="J47" i="235" l="1"/>
  <c r="J53" i="235"/>
  <c r="J52" i="235"/>
  <c r="J51" i="235"/>
  <c r="J50" i="235"/>
  <c r="J49" i="235"/>
  <c r="J48" i="235"/>
  <c r="J46" i="235"/>
  <c r="J29" i="235"/>
  <c r="I29" i="235"/>
  <c r="J28" i="235"/>
  <c r="I28" i="235"/>
  <c r="J27" i="235"/>
  <c r="I27" i="235"/>
  <c r="J25" i="235"/>
  <c r="I25" i="235"/>
  <c r="J24" i="235"/>
  <c r="I24" i="235"/>
  <c r="J23" i="235"/>
  <c r="I23" i="235"/>
  <c r="I22" i="235"/>
  <c r="J21" i="235"/>
  <c r="I21" i="235"/>
  <c r="I20" i="235"/>
  <c r="H20" i="235"/>
  <c r="J20" i="235" s="1"/>
  <c r="K20" i="235" s="1"/>
  <c r="I19" i="235"/>
  <c r="H19" i="235"/>
  <c r="J19" i="235" s="1"/>
  <c r="J18" i="235"/>
  <c r="I18" i="235"/>
  <c r="H18" i="235"/>
  <c r="I17" i="235"/>
  <c r="H17" i="235"/>
  <c r="J17" i="235" s="1"/>
  <c r="J53" i="234"/>
  <c r="J52" i="234"/>
  <c r="J51" i="234"/>
  <c r="J50" i="234"/>
  <c r="J49" i="234"/>
  <c r="J48" i="234"/>
  <c r="J47" i="234"/>
  <c r="J46" i="234"/>
  <c r="J29" i="234"/>
  <c r="I29" i="234"/>
  <c r="J28" i="234"/>
  <c r="I28" i="234"/>
  <c r="J27" i="234"/>
  <c r="I27" i="234"/>
  <c r="J25" i="234"/>
  <c r="I25" i="234"/>
  <c r="J24" i="234"/>
  <c r="I24" i="234"/>
  <c r="J23" i="234"/>
  <c r="I23" i="234"/>
  <c r="I22" i="234"/>
  <c r="J21" i="234"/>
  <c r="I21" i="234"/>
  <c r="I20" i="234"/>
  <c r="H20" i="234"/>
  <c r="J20" i="234" s="1"/>
  <c r="K20" i="234" s="1"/>
  <c r="I19" i="234"/>
  <c r="H19" i="234"/>
  <c r="J19" i="234" s="1"/>
  <c r="K19" i="234" s="1"/>
  <c r="J18" i="234"/>
  <c r="I18" i="234"/>
  <c r="H18" i="234"/>
  <c r="I17" i="234"/>
  <c r="H17" i="234"/>
  <c r="J17" i="234" s="1"/>
  <c r="J53" i="233"/>
  <c r="J52" i="233"/>
  <c r="J51" i="233"/>
  <c r="J50" i="233"/>
  <c r="J49" i="233"/>
  <c r="J48" i="233"/>
  <c r="J47" i="233"/>
  <c r="J46" i="233"/>
  <c r="J29" i="233"/>
  <c r="I29" i="233"/>
  <c r="J28" i="233"/>
  <c r="I28" i="233"/>
  <c r="J27" i="233"/>
  <c r="I27" i="233"/>
  <c r="J25" i="233"/>
  <c r="K25" i="233" s="1"/>
  <c r="I25" i="233"/>
  <c r="J24" i="233"/>
  <c r="I24" i="233"/>
  <c r="J23" i="233"/>
  <c r="I23" i="233"/>
  <c r="I22" i="233"/>
  <c r="J21" i="233"/>
  <c r="I21" i="233"/>
  <c r="I20" i="233"/>
  <c r="H20" i="233"/>
  <c r="J20" i="233" s="1"/>
  <c r="K20" i="233" s="1"/>
  <c r="I19" i="233"/>
  <c r="H19" i="233"/>
  <c r="J19" i="233" s="1"/>
  <c r="K19" i="233" s="1"/>
  <c r="I18" i="233"/>
  <c r="H18" i="233"/>
  <c r="J18" i="233" s="1"/>
  <c r="K18" i="233" s="1"/>
  <c r="I17" i="233"/>
  <c r="H17" i="233"/>
  <c r="J17" i="233" s="1"/>
  <c r="J53" i="232"/>
  <c r="J52" i="232"/>
  <c r="J51" i="232"/>
  <c r="J50" i="232"/>
  <c r="J49" i="232"/>
  <c r="J48" i="232"/>
  <c r="J47" i="232"/>
  <c r="J46" i="232"/>
  <c r="J29" i="232"/>
  <c r="I29" i="232"/>
  <c r="J28" i="232"/>
  <c r="I28" i="232"/>
  <c r="J27" i="232"/>
  <c r="I27" i="232"/>
  <c r="J25" i="232"/>
  <c r="K25" i="232" s="1"/>
  <c r="I25" i="232"/>
  <c r="J24" i="232"/>
  <c r="I24" i="232"/>
  <c r="J23" i="232"/>
  <c r="I23" i="232"/>
  <c r="I22" i="232"/>
  <c r="J21" i="232"/>
  <c r="I21" i="232"/>
  <c r="I20" i="232"/>
  <c r="H20" i="232"/>
  <c r="J20" i="232" s="1"/>
  <c r="K20" i="232" s="1"/>
  <c r="I19" i="232"/>
  <c r="H19" i="232"/>
  <c r="J19" i="232" s="1"/>
  <c r="J18" i="232"/>
  <c r="I18" i="232"/>
  <c r="H18" i="232"/>
  <c r="I17" i="232"/>
  <c r="H17" i="232"/>
  <c r="J17" i="232" s="1"/>
  <c r="J53" i="231"/>
  <c r="J52" i="231"/>
  <c r="J51" i="231"/>
  <c r="J50" i="231"/>
  <c r="J49" i="231"/>
  <c r="J48" i="231"/>
  <c r="J47" i="231"/>
  <c r="J46" i="231"/>
  <c r="J29" i="231"/>
  <c r="K29" i="231" s="1"/>
  <c r="I29" i="231"/>
  <c r="J28" i="231"/>
  <c r="I28" i="231"/>
  <c r="J27" i="231"/>
  <c r="I27" i="231"/>
  <c r="J25" i="231"/>
  <c r="I25" i="231"/>
  <c r="J24" i="231"/>
  <c r="I24" i="231"/>
  <c r="J23" i="231"/>
  <c r="I23" i="231"/>
  <c r="I22" i="231"/>
  <c r="J21" i="231"/>
  <c r="I21" i="231"/>
  <c r="I20" i="231"/>
  <c r="H20" i="231"/>
  <c r="J20" i="231" s="1"/>
  <c r="K20" i="231" s="1"/>
  <c r="I19" i="231"/>
  <c r="H19" i="231"/>
  <c r="J19" i="231" s="1"/>
  <c r="K19" i="231" s="1"/>
  <c r="J18" i="231"/>
  <c r="I18" i="231"/>
  <c r="H18" i="231"/>
  <c r="I17" i="231"/>
  <c r="H17" i="231"/>
  <c r="J17" i="231" s="1"/>
  <c r="K19" i="232" l="1"/>
  <c r="K29" i="232"/>
  <c r="K18" i="234"/>
  <c r="K21" i="231"/>
  <c r="K28" i="231"/>
  <c r="K24" i="233"/>
  <c r="K25" i="234"/>
  <c r="K23" i="231"/>
  <c r="K27" i="234"/>
  <c r="K26" i="234" s="1"/>
  <c r="E11" i="234" s="1"/>
  <c r="K18" i="232"/>
  <c r="K21" i="234"/>
  <c r="K29" i="235"/>
  <c r="K28" i="233"/>
  <c r="K29" i="234"/>
  <c r="K27" i="232"/>
  <c r="K24" i="235"/>
  <c r="K29" i="233"/>
  <c r="K27" i="231"/>
  <c r="K26" i="231" s="1"/>
  <c r="E11" i="231" s="1"/>
  <c r="K21" i="232"/>
  <c r="K28" i="232"/>
  <c r="K23" i="233"/>
  <c r="K24" i="234"/>
  <c r="K19" i="235"/>
  <c r="K16" i="235" s="1"/>
  <c r="K25" i="235"/>
  <c r="K21" i="235"/>
  <c r="K18" i="231"/>
  <c r="K25" i="231"/>
  <c r="K18" i="235"/>
  <c r="K24" i="232"/>
  <c r="K24" i="231"/>
  <c r="K27" i="233"/>
  <c r="K28" i="235"/>
  <c r="K28" i="234"/>
  <c r="K21" i="233"/>
  <c r="K23" i="232"/>
  <c r="K22" i="232" s="1"/>
  <c r="E10" i="232" s="1"/>
  <c r="K27" i="235"/>
  <c r="K26" i="235" s="1"/>
  <c r="E11" i="235" s="1"/>
  <c r="J54" i="235"/>
  <c r="J55" i="235" s="1"/>
  <c r="B9" i="235" s="1"/>
  <c r="K17" i="235"/>
  <c r="K23" i="235"/>
  <c r="J54" i="234"/>
  <c r="J55" i="234" s="1"/>
  <c r="B9" i="234" s="1"/>
  <c r="K17" i="234"/>
  <c r="K23" i="234"/>
  <c r="J54" i="233"/>
  <c r="J55" i="233" s="1"/>
  <c r="B9" i="233" s="1"/>
  <c r="K17" i="233"/>
  <c r="K16" i="233"/>
  <c r="K22" i="233"/>
  <c r="E10" i="233" s="1"/>
  <c r="J54" i="232"/>
  <c r="J55" i="232" s="1"/>
  <c r="B9" i="232" s="1"/>
  <c r="K17" i="232"/>
  <c r="J54" i="231"/>
  <c r="J55" i="231" s="1"/>
  <c r="B9" i="231" s="1"/>
  <c r="K17" i="231"/>
  <c r="K22" i="234" l="1"/>
  <c r="E10" i="234" s="1"/>
  <c r="K26" i="233"/>
  <c r="E11" i="233" s="1"/>
  <c r="K16" i="232"/>
  <c r="E9" i="232" s="1"/>
  <c r="K22" i="235"/>
  <c r="E10" i="235" s="1"/>
  <c r="K22" i="231"/>
  <c r="E10" i="231" s="1"/>
  <c r="K26" i="232"/>
  <c r="E11" i="232" s="1"/>
  <c r="K16" i="231"/>
  <c r="K16" i="234"/>
  <c r="E9" i="234" s="1"/>
  <c r="E9" i="235"/>
  <c r="E9" i="233"/>
  <c r="E9" i="231" l="1"/>
  <c r="J53" i="228" l="1"/>
  <c r="J52" i="228"/>
  <c r="J51" i="228"/>
  <c r="J50" i="228"/>
  <c r="J49" i="228"/>
  <c r="J48" i="228"/>
  <c r="J47" i="228"/>
  <c r="J46" i="228"/>
  <c r="J29" i="228"/>
  <c r="I29" i="228"/>
  <c r="J28" i="228"/>
  <c r="I28" i="228"/>
  <c r="J27" i="228"/>
  <c r="I27" i="228"/>
  <c r="J25" i="228"/>
  <c r="K25" i="228" s="1"/>
  <c r="I25" i="228"/>
  <c r="J24" i="228"/>
  <c r="I24" i="228"/>
  <c r="J23" i="228"/>
  <c r="I23" i="228"/>
  <c r="I22" i="228"/>
  <c r="J21" i="228"/>
  <c r="I21" i="228"/>
  <c r="I20" i="228"/>
  <c r="H20" i="228"/>
  <c r="J20" i="228" s="1"/>
  <c r="I19" i="228"/>
  <c r="H19" i="228"/>
  <c r="J19" i="228" s="1"/>
  <c r="I18" i="228"/>
  <c r="H18" i="228"/>
  <c r="J18" i="228" s="1"/>
  <c r="K18" i="228" s="1"/>
  <c r="I17" i="228"/>
  <c r="H17" i="228"/>
  <c r="J17" i="228" s="1"/>
  <c r="J53" i="227"/>
  <c r="J52" i="227"/>
  <c r="J51" i="227"/>
  <c r="J50" i="227"/>
  <c r="J49" i="227"/>
  <c r="J48" i="227"/>
  <c r="J47" i="227"/>
  <c r="J46" i="227"/>
  <c r="J29" i="227"/>
  <c r="K29" i="227" s="1"/>
  <c r="I29" i="227"/>
  <c r="J28" i="227"/>
  <c r="I28" i="227"/>
  <c r="J27" i="227"/>
  <c r="I27" i="227"/>
  <c r="J25" i="227"/>
  <c r="I25" i="227"/>
  <c r="J24" i="227"/>
  <c r="I24" i="227"/>
  <c r="J23" i="227"/>
  <c r="I23" i="227"/>
  <c r="I22" i="227"/>
  <c r="J21" i="227"/>
  <c r="I21" i="227"/>
  <c r="I20" i="227"/>
  <c r="H20" i="227"/>
  <c r="J20" i="227" s="1"/>
  <c r="K20" i="227" s="1"/>
  <c r="I19" i="227"/>
  <c r="H19" i="227"/>
  <c r="J19" i="227" s="1"/>
  <c r="I18" i="227"/>
  <c r="H18" i="227"/>
  <c r="J18" i="227" s="1"/>
  <c r="K18" i="227" s="1"/>
  <c r="I17" i="227"/>
  <c r="H17" i="227"/>
  <c r="J17" i="227" s="1"/>
  <c r="J46" i="226"/>
  <c r="J53" i="226"/>
  <c r="J52" i="226"/>
  <c r="J51" i="226"/>
  <c r="J50" i="226"/>
  <c r="J49" i="226"/>
  <c r="J48" i="226"/>
  <c r="J47" i="226"/>
  <c r="J29" i="226"/>
  <c r="I29" i="226"/>
  <c r="J28" i="226"/>
  <c r="I28" i="226"/>
  <c r="J27" i="226"/>
  <c r="I27" i="226"/>
  <c r="J25" i="226"/>
  <c r="I25" i="226"/>
  <c r="J24" i="226"/>
  <c r="I24" i="226"/>
  <c r="J23" i="226"/>
  <c r="I23" i="226"/>
  <c r="I22" i="226"/>
  <c r="J21" i="226"/>
  <c r="I21" i="226"/>
  <c r="I20" i="226"/>
  <c r="H20" i="226"/>
  <c r="J20" i="226" s="1"/>
  <c r="K20" i="226" s="1"/>
  <c r="I19" i="226"/>
  <c r="H19" i="226"/>
  <c r="J19" i="226" s="1"/>
  <c r="K19" i="226" s="1"/>
  <c r="I18" i="226"/>
  <c r="H18" i="226"/>
  <c r="J18" i="226" s="1"/>
  <c r="I17" i="226"/>
  <c r="H17" i="226"/>
  <c r="J17" i="226" s="1"/>
  <c r="J53" i="155"/>
  <c r="J54" i="155"/>
  <c r="J48" i="155"/>
  <c r="J49" i="155"/>
  <c r="J50" i="155"/>
  <c r="J51" i="155"/>
  <c r="J52" i="155"/>
  <c r="H46" i="155"/>
  <c r="G46" i="155"/>
  <c r="J47" i="155"/>
  <c r="J46" i="155"/>
  <c r="K19" i="228" l="1"/>
  <c r="K20" i="228"/>
  <c r="K18" i="226"/>
  <c r="K24" i="226"/>
  <c r="K28" i="228"/>
  <c r="K21" i="226"/>
  <c r="K25" i="226"/>
  <c r="K27" i="227"/>
  <c r="K29" i="228"/>
  <c r="K21" i="227"/>
  <c r="K27" i="226"/>
  <c r="K26" i="226" s="1"/>
  <c r="E11" i="226" s="1"/>
  <c r="K28" i="226"/>
  <c r="K29" i="226"/>
  <c r="K24" i="227"/>
  <c r="K21" i="228"/>
  <c r="K28" i="227"/>
  <c r="K24" i="228"/>
  <c r="K19" i="227"/>
  <c r="K25" i="227"/>
  <c r="K27" i="228"/>
  <c r="J54" i="228"/>
  <c r="J55" i="228" s="1"/>
  <c r="B9" i="228" s="1"/>
  <c r="K17" i="228"/>
  <c r="K23" i="228"/>
  <c r="K22" i="228" s="1"/>
  <c r="E10" i="228" s="1"/>
  <c r="J54" i="227"/>
  <c r="J55" i="227" s="1"/>
  <c r="B9" i="227" s="1"/>
  <c r="K17" i="227"/>
  <c r="K16" i="227" s="1"/>
  <c r="K23" i="227"/>
  <c r="J54" i="226"/>
  <c r="J55" i="226" s="1"/>
  <c r="B9" i="226" s="1"/>
  <c r="K17" i="226"/>
  <c r="K16" i="226"/>
  <c r="K23" i="226"/>
  <c r="K22" i="226" s="1"/>
  <c r="E10" i="226" s="1"/>
  <c r="J55" i="155"/>
  <c r="B9" i="155" s="1"/>
  <c r="K26" i="227" l="1"/>
  <c r="E11" i="227" s="1"/>
  <c r="K16" i="228"/>
  <c r="K26" i="228"/>
  <c r="E11" i="228" s="1"/>
  <c r="K22" i="227"/>
  <c r="E10" i="227" s="1"/>
  <c r="E9" i="228"/>
  <c r="E9" i="227"/>
  <c r="E9" i="226"/>
  <c r="C9" i="225"/>
  <c r="D20" i="6"/>
  <c r="D57" i="6"/>
  <c r="H20" i="155" l="1"/>
  <c r="H19" i="155"/>
  <c r="H18" i="155"/>
  <c r="H17" i="155"/>
  <c r="J17" i="155" l="1"/>
  <c r="J18" i="155"/>
  <c r="K18" i="155" s="1"/>
  <c r="J19" i="155"/>
  <c r="J20" i="155"/>
  <c r="K20" i="155" s="1"/>
  <c r="I17" i="155"/>
  <c r="I18" i="155"/>
  <c r="I19" i="155"/>
  <c r="I20" i="155"/>
  <c r="I21" i="155"/>
  <c r="I22" i="155"/>
  <c r="I23" i="155"/>
  <c r="I24" i="155"/>
  <c r="I25" i="155"/>
  <c r="I27" i="155"/>
  <c r="I28" i="155"/>
  <c r="I29" i="155"/>
  <c r="J29" i="155"/>
  <c r="K29" i="155" s="1"/>
  <c r="J28" i="155"/>
  <c r="K28" i="155" s="1"/>
  <c r="J27" i="155"/>
  <c r="K27" i="155" s="1"/>
  <c r="J25" i="155"/>
  <c r="K25" i="155" s="1"/>
  <c r="J24" i="155"/>
  <c r="K24" i="155" s="1"/>
  <c r="J23" i="155"/>
  <c r="J21" i="155"/>
  <c r="K21" i="155" s="1"/>
  <c r="E14" i="91"/>
  <c r="E10" i="91"/>
  <c r="E5" i="6" s="1"/>
  <c r="E4" i="91"/>
  <c r="I26" i="155" l="1"/>
  <c r="I26" i="276"/>
  <c r="I26" i="274"/>
  <c r="I26" i="275"/>
  <c r="I26" i="277"/>
  <c r="I26" i="259"/>
  <c r="I26" i="273"/>
  <c r="I26" i="256"/>
  <c r="I26" i="260"/>
  <c r="I26" i="249"/>
  <c r="I26" i="258"/>
  <c r="I26" i="267"/>
  <c r="I26" i="262"/>
  <c r="I26" i="251"/>
  <c r="I26" i="272"/>
  <c r="I26" i="255"/>
  <c r="I26" i="268"/>
  <c r="I26" i="264"/>
  <c r="I26" i="252"/>
  <c r="I26" i="254"/>
  <c r="I26" i="269"/>
  <c r="I26" i="265"/>
  <c r="I26" i="253"/>
  <c r="I26" i="257"/>
  <c r="I26" i="250"/>
  <c r="I26" i="271"/>
  <c r="I26" i="266"/>
  <c r="I26" i="261"/>
  <c r="I26" i="241"/>
  <c r="I26" i="237"/>
  <c r="I26" i="245"/>
  <c r="I26" i="238"/>
  <c r="I26" i="242"/>
  <c r="I26" i="246"/>
  <c r="I26" i="239"/>
  <c r="I26" i="243"/>
  <c r="I26" i="236"/>
  <c r="I26" i="247"/>
  <c r="I26" i="240"/>
  <c r="I26" i="248"/>
  <c r="I26" i="244"/>
  <c r="I26" i="231"/>
  <c r="I26" i="235"/>
  <c r="I26" i="232"/>
  <c r="I26" i="233"/>
  <c r="I26" i="234"/>
  <c r="I26" i="228"/>
  <c r="I26" i="227"/>
  <c r="I26" i="226"/>
  <c r="E4" i="6"/>
  <c r="I16" i="277"/>
  <c r="I16" i="274"/>
  <c r="I16" i="276"/>
  <c r="I16" i="275"/>
  <c r="I16" i="268"/>
  <c r="I16" i="256"/>
  <c r="I16" i="269"/>
  <c r="I16" i="262"/>
  <c r="I16" i="251"/>
  <c r="I16" i="257"/>
  <c r="I16" i="252"/>
  <c r="I16" i="264"/>
  <c r="I16" i="258"/>
  <c r="I16" i="253"/>
  <c r="I16" i="272"/>
  <c r="I16" i="265"/>
  <c r="I16" i="259"/>
  <c r="I16" i="254"/>
  <c r="I16" i="266"/>
  <c r="I16" i="249"/>
  <c r="I16" i="273"/>
  <c r="I16" i="260"/>
  <c r="I16" i="267"/>
  <c r="I16" i="255"/>
  <c r="I16" i="250"/>
  <c r="I16" i="261"/>
  <c r="I16" i="271"/>
  <c r="I16" i="248"/>
  <c r="I16" i="238"/>
  <c r="I16" i="243"/>
  <c r="I16" i="240"/>
  <c r="I16" i="236"/>
  <c r="I16" i="247"/>
  <c r="I16" i="246"/>
  <c r="I16" i="237"/>
  <c r="I16" i="244"/>
  <c r="I16" i="239"/>
  <c r="I16" i="245"/>
  <c r="I16" i="242"/>
  <c r="I16" i="241"/>
  <c r="I16" i="231"/>
  <c r="I16" i="232"/>
  <c r="I16" i="233"/>
  <c r="I16" i="235"/>
  <c r="I16" i="234"/>
  <c r="I16" i="226"/>
  <c r="I16" i="227"/>
  <c r="I16" i="228"/>
  <c r="K23" i="155"/>
  <c r="I16" i="155"/>
  <c r="E6" i="6"/>
  <c r="K19" i="155"/>
  <c r="K17" i="155"/>
  <c r="K16" i="155" s="1"/>
  <c r="K22" i="155"/>
  <c r="K26" i="155"/>
  <c r="E11" i="155" s="1"/>
  <c r="E18" i="91"/>
  <c r="K30" i="226" s="1"/>
  <c r="K30" i="276" l="1"/>
  <c r="E4" i="276" s="1"/>
  <c r="K30" i="275"/>
  <c r="E4" i="275" s="1"/>
  <c r="K30" i="274"/>
  <c r="E4" i="274" s="1"/>
  <c r="K30" i="277"/>
  <c r="E4" i="277" s="1"/>
  <c r="K30" i="252"/>
  <c r="E4" i="252" s="1"/>
  <c r="K30" i="266"/>
  <c r="E4" i="266" s="1"/>
  <c r="K30" i="264"/>
  <c r="E4" i="264" s="1"/>
  <c r="K30" i="249"/>
  <c r="E4" i="249" s="1"/>
  <c r="K30" i="260"/>
  <c r="E4" i="260" s="1"/>
  <c r="K30" i="272"/>
  <c r="E4" i="272" s="1"/>
  <c r="K30" i="256"/>
  <c r="E4" i="256" s="1"/>
  <c r="K30" i="269"/>
  <c r="E4" i="269" s="1"/>
  <c r="K30" i="250"/>
  <c r="E4" i="250" s="1"/>
  <c r="K30" i="267"/>
  <c r="E4" i="267" s="1"/>
  <c r="E6" i="267" s="1"/>
  <c r="K30" i="254"/>
  <c r="E4" i="254" s="1"/>
  <c r="K30" i="255"/>
  <c r="E4" i="255" s="1"/>
  <c r="K30" i="251"/>
  <c r="E4" i="251" s="1"/>
  <c r="K30" i="262"/>
  <c r="E4" i="262" s="1"/>
  <c r="K30" i="265"/>
  <c r="E4" i="265" s="1"/>
  <c r="K30" i="271"/>
  <c r="E4" i="271" s="1"/>
  <c r="K30" i="257"/>
  <c r="E4" i="257" s="1"/>
  <c r="K30" i="273"/>
  <c r="E4" i="273" s="1"/>
  <c r="K30" i="268"/>
  <c r="E4" i="268" s="1"/>
  <c r="K30" i="253"/>
  <c r="E4" i="253" s="1"/>
  <c r="K30" i="261"/>
  <c r="E4" i="261" s="1"/>
  <c r="K30" i="258"/>
  <c r="E4" i="258" s="1"/>
  <c r="K30" i="259"/>
  <c r="E4" i="259" s="1"/>
  <c r="K30" i="246"/>
  <c r="E4" i="246" s="1"/>
  <c r="K30" i="239"/>
  <c r="E4" i="239" s="1"/>
  <c r="K30" i="240"/>
  <c r="E4" i="240" s="1"/>
  <c r="K30" i="245"/>
  <c r="E4" i="245" s="1"/>
  <c r="K30" i="237"/>
  <c r="E4" i="237" s="1"/>
  <c r="K30" i="244"/>
  <c r="E4" i="244" s="1"/>
  <c r="K30" i="242"/>
  <c r="E4" i="242" s="1"/>
  <c r="K30" i="241"/>
  <c r="E4" i="241" s="1"/>
  <c r="K30" i="247"/>
  <c r="E4" i="247" s="1"/>
  <c r="K30" i="248"/>
  <c r="E4" i="248" s="1"/>
  <c r="K30" i="236"/>
  <c r="E4" i="236" s="1"/>
  <c r="K30" i="243"/>
  <c r="E4" i="243" s="1"/>
  <c r="K30" i="238"/>
  <c r="E4" i="238" s="1"/>
  <c r="K30" i="235"/>
  <c r="E4" i="235" s="1"/>
  <c r="K30" i="231"/>
  <c r="E4" i="231" s="1"/>
  <c r="K30" i="232"/>
  <c r="E4" i="232" s="1"/>
  <c r="K30" i="234"/>
  <c r="E4" i="234" s="1"/>
  <c r="K30" i="233"/>
  <c r="E4" i="233" s="1"/>
  <c r="K30" i="227"/>
  <c r="E4" i="227" s="1"/>
  <c r="E4" i="226"/>
  <c r="K30" i="228"/>
  <c r="E4" i="228" s="1"/>
  <c r="E7" i="6"/>
  <c r="K30" i="155"/>
  <c r="E10" i="155"/>
  <c r="E9" i="155"/>
  <c r="A6" i="6"/>
  <c r="E6" i="228" l="1"/>
  <c r="E5" i="228"/>
  <c r="E6" i="241"/>
  <c r="E5" i="241"/>
  <c r="E6" i="242"/>
  <c r="E5" i="242"/>
  <c r="E6" i="233"/>
  <c r="E5" i="233"/>
  <c r="E6" i="237"/>
  <c r="E5" i="237"/>
  <c r="E6" i="245"/>
  <c r="E5" i="245"/>
  <c r="E6" i="240"/>
  <c r="E5" i="240"/>
  <c r="E6" i="235"/>
  <c r="E5" i="235"/>
  <c r="E6" i="239"/>
  <c r="E5" i="239"/>
  <c r="E6" i="251"/>
  <c r="E5" i="251"/>
  <c r="E6" i="252"/>
  <c r="E5" i="252"/>
  <c r="E6" i="256"/>
  <c r="E5" i="256"/>
  <c r="E6" i="273"/>
  <c r="E5" i="273"/>
  <c r="E6" i="260"/>
  <c r="E5" i="260"/>
  <c r="E6" i="249"/>
  <c r="E5" i="249"/>
  <c r="E6" i="265"/>
  <c r="E5" i="265"/>
  <c r="E6" i="266"/>
  <c r="E5" i="266"/>
  <c r="E6" i="255"/>
  <c r="E5" i="255"/>
  <c r="E6" i="275"/>
  <c r="E5" i="275"/>
  <c r="E6" i="247"/>
  <c r="E5" i="247"/>
  <c r="E6" i="253"/>
  <c r="E5" i="253"/>
  <c r="E6" i="269"/>
  <c r="E5" i="269"/>
  <c r="E6" i="226"/>
  <c r="E5" i="226"/>
  <c r="E6" i="268"/>
  <c r="E5" i="268"/>
  <c r="E6" i="227"/>
  <c r="E5" i="227"/>
  <c r="E6" i="272"/>
  <c r="E5" i="272"/>
  <c r="E6" i="244"/>
  <c r="E5" i="244"/>
  <c r="E6" i="257"/>
  <c r="E5" i="257"/>
  <c r="E6" i="234"/>
  <c r="E5" i="234"/>
  <c r="E6" i="271"/>
  <c r="E5" i="271"/>
  <c r="E6" i="232"/>
  <c r="E5" i="232"/>
  <c r="E6" i="264"/>
  <c r="E5" i="264"/>
  <c r="E6" i="231"/>
  <c r="E5" i="231"/>
  <c r="E6" i="262"/>
  <c r="E5" i="262"/>
  <c r="E6" i="238"/>
  <c r="E5" i="238"/>
  <c r="E6" i="246"/>
  <c r="E5" i="246"/>
  <c r="E6" i="277"/>
  <c r="E5" i="277"/>
  <c r="E6" i="243"/>
  <c r="E5" i="243"/>
  <c r="E6" i="259"/>
  <c r="E5" i="259"/>
  <c r="E6" i="254"/>
  <c r="E5" i="254"/>
  <c r="E6" i="274"/>
  <c r="E5" i="274"/>
  <c r="E6" i="236"/>
  <c r="E5" i="236"/>
  <c r="E6" i="258"/>
  <c r="E5" i="258"/>
  <c r="E6" i="248"/>
  <c r="E5" i="248"/>
  <c r="E6" i="261"/>
  <c r="E5" i="261"/>
  <c r="E6" i="250"/>
  <c r="E5" i="250"/>
  <c r="E6" i="276"/>
  <c r="E5" i="276"/>
  <c r="AW17" i="91"/>
  <c r="AV17" i="91"/>
  <c r="AT17" i="91"/>
  <c r="AS17" i="91"/>
  <c r="AQ17" i="91"/>
  <c r="AP17" i="91"/>
  <c r="AM17" i="91"/>
  <c r="AN17" i="91"/>
  <c r="H21" i="6"/>
  <c r="J74" i="6"/>
  <c r="D139" i="6"/>
  <c r="D112" i="6"/>
  <c r="I30" i="6"/>
  <c r="H30" i="6"/>
  <c r="M152" i="6"/>
  <c r="K138" i="6"/>
  <c r="I90" i="6"/>
  <c r="G115" i="6"/>
  <c r="M135" i="6"/>
  <c r="J111" i="6"/>
  <c r="M30" i="6"/>
  <c r="G20" i="6"/>
  <c r="I32" i="6"/>
  <c r="J32" i="6"/>
  <c r="D109" i="6"/>
  <c r="I98" i="6"/>
  <c r="H138" i="6"/>
  <c r="G58" i="6"/>
  <c r="D125" i="6"/>
  <c r="I118" i="6"/>
  <c r="K78" i="6"/>
  <c r="G153" i="6"/>
  <c r="H100" i="6"/>
  <c r="I89" i="6"/>
  <c r="L49" i="6"/>
  <c r="D41" i="6"/>
  <c r="M144" i="6"/>
  <c r="G29" i="6"/>
  <c r="D116" i="6"/>
  <c r="L128" i="6"/>
  <c r="H131" i="6"/>
  <c r="G150" i="6"/>
  <c r="D89" i="6"/>
  <c r="H65" i="6"/>
  <c r="I25" i="6"/>
  <c r="J102" i="6"/>
  <c r="I120" i="6"/>
  <c r="H73" i="6"/>
  <c r="K115" i="6"/>
  <c r="G88" i="6"/>
  <c r="H130" i="6"/>
  <c r="L76" i="6"/>
  <c r="J158" i="6"/>
  <c r="K64" i="6"/>
  <c r="G127" i="6"/>
  <c r="J90" i="6"/>
  <c r="J71" i="6"/>
  <c r="M155" i="6"/>
  <c r="D43" i="6"/>
  <c r="J144" i="6"/>
  <c r="K23" i="6"/>
  <c r="M20" i="6"/>
  <c r="J99" i="6"/>
  <c r="K91" i="6"/>
  <c r="K130" i="6"/>
  <c r="D102" i="6"/>
  <c r="L40" i="6"/>
  <c r="D120" i="6"/>
  <c r="I66" i="6"/>
  <c r="G129" i="6"/>
  <c r="L15" i="6"/>
  <c r="L100" i="6"/>
  <c r="I53" i="6"/>
  <c r="J113" i="6"/>
  <c r="K108" i="6"/>
  <c r="G77" i="6"/>
  <c r="G70" i="6"/>
  <c r="H123" i="6"/>
  <c r="L36" i="6"/>
  <c r="H135" i="6"/>
  <c r="J131" i="6"/>
  <c r="J20" i="6"/>
  <c r="D60" i="6"/>
  <c r="H97" i="6"/>
  <c r="H92" i="6"/>
  <c r="H53" i="6"/>
  <c r="L88" i="6"/>
  <c r="M129" i="6"/>
  <c r="L149" i="6"/>
  <c r="D124" i="6"/>
  <c r="D14" i="6"/>
  <c r="D152" i="6"/>
  <c r="H112" i="6"/>
  <c r="I45" i="6"/>
  <c r="H117" i="6"/>
  <c r="G26" i="6"/>
  <c r="H14" i="6"/>
  <c r="I26" i="6"/>
  <c r="K58" i="6"/>
  <c r="H137" i="6"/>
  <c r="L101" i="6"/>
  <c r="I138" i="6"/>
  <c r="H157" i="6"/>
  <c r="J116" i="6"/>
  <c r="H32" i="6"/>
  <c r="M163" i="6"/>
  <c r="L66" i="6"/>
  <c r="L89" i="6"/>
  <c r="H160" i="6"/>
  <c r="H77" i="6"/>
  <c r="G135" i="6"/>
  <c r="K82" i="6"/>
  <c r="J61" i="6"/>
  <c r="G57" i="6"/>
  <c r="K126" i="6"/>
  <c r="G114" i="6"/>
  <c r="M83" i="6"/>
  <c r="I36" i="6"/>
  <c r="K142" i="6"/>
  <c r="M106" i="6"/>
  <c r="K164" i="6"/>
  <c r="K136" i="6"/>
  <c r="H68" i="6"/>
  <c r="K137" i="6"/>
  <c r="J48" i="6"/>
  <c r="M52" i="6"/>
  <c r="H41" i="6"/>
  <c r="D129" i="6"/>
  <c r="G73" i="6"/>
  <c r="D114" i="6"/>
  <c r="I21" i="6"/>
  <c r="D145" i="6"/>
  <c r="D130" i="6"/>
  <c r="I57" i="6"/>
  <c r="J86" i="6"/>
  <c r="K147" i="6"/>
  <c r="H60" i="6"/>
  <c r="L45" i="6"/>
  <c r="G143" i="6"/>
  <c r="D92" i="6"/>
  <c r="I146" i="6"/>
  <c r="K102" i="6"/>
  <c r="L137" i="6"/>
  <c r="G124" i="6"/>
  <c r="G147" i="6"/>
  <c r="G46" i="6"/>
  <c r="I121" i="6"/>
  <c r="J75" i="6"/>
  <c r="L123" i="6"/>
  <c r="G137" i="6"/>
  <c r="I65" i="6"/>
  <c r="L71" i="6"/>
  <c r="M99" i="6"/>
  <c r="H121" i="6"/>
  <c r="I63" i="6"/>
  <c r="H94" i="6"/>
  <c r="I161" i="6"/>
  <c r="J155" i="6"/>
  <c r="L112" i="6"/>
  <c r="J84" i="6"/>
  <c r="H29" i="6"/>
  <c r="M40" i="6"/>
  <c r="G141" i="6"/>
  <c r="I54" i="6"/>
  <c r="M158" i="6"/>
  <c r="H142" i="6"/>
  <c r="H153" i="6"/>
  <c r="H126" i="6"/>
  <c r="H36" i="6"/>
  <c r="I67" i="6"/>
  <c r="J128" i="6"/>
  <c r="I93" i="6"/>
  <c r="K25" i="6"/>
  <c r="H122" i="6"/>
  <c r="K60" i="6"/>
  <c r="L133" i="6"/>
  <c r="K95" i="6"/>
  <c r="K157" i="6"/>
  <c r="K120" i="6"/>
  <c r="H69" i="6"/>
  <c r="J122" i="6"/>
  <c r="M165" i="6"/>
  <c r="L50" i="6"/>
  <c r="G24" i="6"/>
  <c r="L147" i="6"/>
  <c r="K80" i="6"/>
  <c r="I158" i="6"/>
  <c r="L85" i="6"/>
  <c r="M53" i="6"/>
  <c r="G154" i="6"/>
  <c r="J72" i="6"/>
  <c r="D58" i="6"/>
  <c r="I107" i="6"/>
  <c r="M146" i="6"/>
  <c r="I55" i="6"/>
  <c r="M82" i="6"/>
  <c r="D104" i="6"/>
  <c r="J83" i="6"/>
  <c r="H75" i="6"/>
  <c r="L41" i="6"/>
  <c r="J67" i="6"/>
  <c r="D137" i="6"/>
  <c r="D15" i="6"/>
  <c r="G159" i="6"/>
  <c r="J127" i="6"/>
  <c r="K50" i="6"/>
  <c r="K75" i="6"/>
  <c r="H76" i="6"/>
  <c r="G15" i="6"/>
  <c r="D127" i="6"/>
  <c r="J162" i="6"/>
  <c r="I69" i="6"/>
  <c r="L162" i="6"/>
  <c r="D78" i="6"/>
  <c r="K99" i="6"/>
  <c r="M123" i="6"/>
  <c r="L119" i="6"/>
  <c r="I99" i="6"/>
  <c r="K27" i="6"/>
  <c r="G152" i="6"/>
  <c r="D100" i="6"/>
  <c r="G121" i="6"/>
  <c r="D88" i="6"/>
  <c r="G131" i="6"/>
  <c r="J66" i="6"/>
  <c r="M34" i="6"/>
  <c r="H164" i="6"/>
  <c r="G34" i="6"/>
  <c r="G103" i="6"/>
  <c r="L120" i="6"/>
  <c r="M55" i="6"/>
  <c r="K159" i="6"/>
  <c r="K146" i="6"/>
  <c r="D147" i="6"/>
  <c r="D66" i="6"/>
  <c r="I103" i="6"/>
  <c r="I31" i="6"/>
  <c r="K33" i="6"/>
  <c r="D28" i="6"/>
  <c r="H40" i="6"/>
  <c r="H33" i="6"/>
  <c r="D26" i="6"/>
  <c r="M88" i="6"/>
  <c r="G102" i="6"/>
  <c r="L158" i="6"/>
  <c r="L67" i="6"/>
  <c r="D81" i="6"/>
  <c r="K153" i="6"/>
  <c r="J54" i="6"/>
  <c r="G80" i="6"/>
  <c r="K131" i="6"/>
  <c r="L62" i="6"/>
  <c r="K15" i="6"/>
  <c r="D101" i="6"/>
  <c r="G84" i="6"/>
  <c r="K101" i="6"/>
  <c r="M15" i="6"/>
  <c r="K84" i="6"/>
  <c r="M164" i="6"/>
  <c r="M84" i="6"/>
  <c r="I125" i="6"/>
  <c r="H72" i="6"/>
  <c r="M134" i="6"/>
  <c r="H106" i="6"/>
  <c r="G85" i="6"/>
  <c r="K18" i="6"/>
  <c r="M50" i="6"/>
  <c r="H152" i="6"/>
  <c r="D97" i="6"/>
  <c r="I129" i="6"/>
  <c r="H147" i="6"/>
  <c r="L151" i="6"/>
  <c r="D83" i="6"/>
  <c r="M96" i="6"/>
  <c r="M73" i="6"/>
  <c r="H38" i="6"/>
  <c r="G75" i="6"/>
  <c r="I40" i="6"/>
  <c r="J159" i="6"/>
  <c r="J27" i="6"/>
  <c r="J28" i="6"/>
  <c r="J42" i="6"/>
  <c r="K32" i="6"/>
  <c r="L73" i="6"/>
  <c r="M125" i="6"/>
  <c r="K40" i="6"/>
  <c r="H102" i="6"/>
  <c r="D44" i="6"/>
  <c r="H136" i="6"/>
  <c r="K42" i="6"/>
  <c r="L132" i="6"/>
  <c r="M142" i="6"/>
  <c r="I147" i="6"/>
  <c r="M72" i="6"/>
  <c r="G23" i="6"/>
  <c r="D51" i="6"/>
  <c r="M161" i="6"/>
  <c r="G86" i="6"/>
  <c r="G69" i="6"/>
  <c r="I18" i="6"/>
  <c r="D151" i="6"/>
  <c r="D126" i="6"/>
  <c r="K109" i="6"/>
  <c r="I19" i="6"/>
  <c r="G50" i="6"/>
  <c r="D63" i="6"/>
  <c r="G139" i="6"/>
  <c r="I162" i="6"/>
  <c r="D65" i="6"/>
  <c r="G41" i="6"/>
  <c r="H57" i="6"/>
  <c r="I151" i="6"/>
  <c r="K150" i="6"/>
  <c r="H55" i="6"/>
  <c r="K165" i="6"/>
  <c r="L64" i="6"/>
  <c r="D37" i="6"/>
  <c r="G125" i="6"/>
  <c r="D107" i="6"/>
  <c r="J104" i="6"/>
  <c r="J46" i="6"/>
  <c r="L90" i="6"/>
  <c r="I43" i="6"/>
  <c r="M138" i="6"/>
  <c r="L111" i="6"/>
  <c r="H66" i="6"/>
  <c r="D133" i="6"/>
  <c r="J136" i="6"/>
  <c r="K133" i="6"/>
  <c r="M132" i="6"/>
  <c r="M28" i="6"/>
  <c r="D23" i="6"/>
  <c r="H149" i="6"/>
  <c r="L52" i="6"/>
  <c r="K70" i="6"/>
  <c r="M80" i="6"/>
  <c r="M56" i="6"/>
  <c r="L121" i="6"/>
  <c r="G98" i="6"/>
  <c r="J108" i="6"/>
  <c r="L81" i="6"/>
  <c r="M57" i="6"/>
  <c r="H86" i="6"/>
  <c r="M160" i="6"/>
  <c r="L38" i="6"/>
  <c r="J118" i="6"/>
  <c r="K144" i="6"/>
  <c r="G61" i="6"/>
  <c r="I80" i="6"/>
  <c r="G48" i="6"/>
  <c r="D140" i="6"/>
  <c r="M128" i="6"/>
  <c r="L86" i="6"/>
  <c r="M131" i="6"/>
  <c r="M111" i="6"/>
  <c r="I33" i="6"/>
  <c r="J153" i="6"/>
  <c r="J164" i="6"/>
  <c r="G28" i="6"/>
  <c r="L21" i="6"/>
  <c r="K38" i="6"/>
  <c r="G51" i="6"/>
  <c r="I149" i="6"/>
  <c r="H59" i="6"/>
  <c r="G151" i="6"/>
  <c r="M101" i="6"/>
  <c r="H74" i="6"/>
  <c r="M150" i="6"/>
  <c r="J29" i="6"/>
  <c r="D39" i="6"/>
  <c r="I84" i="6"/>
  <c r="M118" i="6"/>
  <c r="K155" i="6"/>
  <c r="M141" i="6"/>
  <c r="J123" i="6"/>
  <c r="D146" i="6"/>
  <c r="M47" i="6"/>
  <c r="I81" i="6"/>
  <c r="I126" i="6"/>
  <c r="D67" i="6"/>
  <c r="J41" i="6"/>
  <c r="J126" i="6"/>
  <c r="K39" i="6"/>
  <c r="H113" i="6"/>
  <c r="M86" i="6"/>
  <c r="G145" i="6"/>
  <c r="L18" i="6"/>
  <c r="M51" i="6"/>
  <c r="I128" i="6"/>
  <c r="G21" i="6"/>
  <c r="I108" i="6"/>
  <c r="D85" i="6"/>
  <c r="J93" i="6"/>
  <c r="G44" i="6"/>
  <c r="K111" i="6"/>
  <c r="I163" i="6"/>
  <c r="K107" i="6"/>
  <c r="H82" i="6"/>
  <c r="K92" i="6"/>
  <c r="J17" i="6"/>
  <c r="I104" i="6"/>
  <c r="J163" i="6"/>
  <c r="I134" i="6"/>
  <c r="M76" i="6"/>
  <c r="M14" i="6"/>
  <c r="J165" i="6"/>
  <c r="J160" i="6"/>
  <c r="D117" i="6"/>
  <c r="M102" i="6"/>
  <c r="L83" i="6"/>
  <c r="K119" i="6"/>
  <c r="I113" i="6"/>
  <c r="K69" i="6"/>
  <c r="G56" i="6"/>
  <c r="I140" i="6"/>
  <c r="L68" i="6"/>
  <c r="K160" i="6"/>
  <c r="J44" i="6"/>
  <c r="D138" i="6"/>
  <c r="G96" i="6"/>
  <c r="M29" i="6"/>
  <c r="M115" i="6"/>
  <c r="D160" i="6"/>
  <c r="D40" i="6"/>
  <c r="H22" i="6"/>
  <c r="D53" i="6"/>
  <c r="H155" i="6"/>
  <c r="K89" i="6"/>
  <c r="L110" i="6"/>
  <c r="I119" i="6"/>
  <c r="G133" i="6"/>
  <c r="I72" i="6"/>
  <c r="K65" i="6"/>
  <c r="D76" i="6"/>
  <c r="K90" i="6"/>
  <c r="G32" i="6"/>
  <c r="K66" i="6"/>
  <c r="L53" i="6"/>
  <c r="L55" i="6"/>
  <c r="L75" i="6"/>
  <c r="I38" i="6"/>
  <c r="M121" i="6"/>
  <c r="G130" i="6"/>
  <c r="K148" i="6"/>
  <c r="J124" i="6"/>
  <c r="G66" i="6"/>
  <c r="I109" i="6"/>
  <c r="L77" i="6"/>
  <c r="K30" i="6"/>
  <c r="D75" i="6"/>
  <c r="J109" i="6"/>
  <c r="L98" i="6"/>
  <c r="M25" i="6"/>
  <c r="K74" i="6"/>
  <c r="K151" i="6"/>
  <c r="H23" i="6"/>
  <c r="D105" i="6"/>
  <c r="K114" i="6"/>
  <c r="K56" i="6"/>
  <c r="J149" i="6"/>
  <c r="J112" i="6"/>
  <c r="G68" i="6"/>
  <c r="H80" i="6"/>
  <c r="J148" i="6"/>
  <c r="J79" i="6"/>
  <c r="G40" i="6"/>
  <c r="I46" i="6"/>
  <c r="K156" i="6"/>
  <c r="H90" i="6"/>
  <c r="M103" i="6"/>
  <c r="G31" i="6"/>
  <c r="M151" i="6"/>
  <c r="J31" i="6"/>
  <c r="H162" i="6"/>
  <c r="J57" i="6"/>
  <c r="K43" i="6"/>
  <c r="M78" i="6"/>
  <c r="M136" i="6"/>
  <c r="D135" i="6"/>
  <c r="H24" i="6"/>
  <c r="G97" i="6"/>
  <c r="K17" i="6"/>
  <c r="H127" i="6"/>
  <c r="M70" i="6"/>
  <c r="G113" i="6"/>
  <c r="K87" i="6"/>
  <c r="D38" i="6"/>
  <c r="H129" i="6"/>
  <c r="J52" i="6"/>
  <c r="D165" i="6"/>
  <c r="J96" i="6"/>
  <c r="K46" i="6"/>
  <c r="K118" i="6"/>
  <c r="L80" i="6"/>
  <c r="J85" i="6"/>
  <c r="D119" i="6"/>
  <c r="M109" i="6"/>
  <c r="K122" i="6"/>
  <c r="I75" i="6"/>
  <c r="M104" i="6"/>
  <c r="G117" i="6"/>
  <c r="I164" i="6"/>
  <c r="H70" i="6"/>
  <c r="L141" i="6"/>
  <c r="D93" i="6"/>
  <c r="K110" i="6"/>
  <c r="J138" i="6"/>
  <c r="G71" i="6"/>
  <c r="G63" i="6"/>
  <c r="G36" i="6"/>
  <c r="L69" i="6"/>
  <c r="J157" i="6"/>
  <c r="J59" i="6"/>
  <c r="G162" i="6"/>
  <c r="I131" i="6"/>
  <c r="K125" i="6"/>
  <c r="H15" i="6"/>
  <c r="K117" i="6"/>
  <c r="M77" i="6"/>
  <c r="L20" i="6"/>
  <c r="I77" i="6"/>
  <c r="J65" i="6"/>
  <c r="I100" i="6"/>
  <c r="I61" i="6"/>
  <c r="M19" i="6"/>
  <c r="M16" i="6"/>
  <c r="G161" i="6"/>
  <c r="H28" i="6"/>
  <c r="H37" i="6"/>
  <c r="L63" i="6"/>
  <c r="K34" i="6"/>
  <c r="G105" i="6"/>
  <c r="G81" i="6"/>
  <c r="L140" i="6"/>
  <c r="M156" i="6"/>
  <c r="K61" i="6"/>
  <c r="L19" i="6"/>
  <c r="J100" i="6"/>
  <c r="K71" i="6"/>
  <c r="G93" i="6"/>
  <c r="I116" i="6"/>
  <c r="M75" i="6"/>
  <c r="H98" i="6"/>
  <c r="H18" i="6"/>
  <c r="H88" i="6"/>
  <c r="J114" i="6"/>
  <c r="L43" i="6"/>
  <c r="G53" i="6"/>
  <c r="I94" i="6"/>
  <c r="M117" i="6"/>
  <c r="M92" i="6"/>
  <c r="I16" i="6"/>
  <c r="G111" i="6"/>
  <c r="J58" i="6"/>
  <c r="D148" i="6"/>
  <c r="K94" i="6"/>
  <c r="D108" i="6"/>
  <c r="I150" i="6"/>
  <c r="K45" i="6"/>
  <c r="I83" i="6"/>
  <c r="J82" i="6"/>
  <c r="L51" i="6"/>
  <c r="D118" i="6"/>
  <c r="I64" i="6"/>
  <c r="M49" i="6"/>
  <c r="I96" i="6"/>
  <c r="L163" i="6"/>
  <c r="K100" i="6"/>
  <c r="L82" i="6"/>
  <c r="I127" i="6"/>
  <c r="L31" i="6"/>
  <c r="L116" i="6"/>
  <c r="H95" i="6"/>
  <c r="L135" i="6"/>
  <c r="G87" i="6"/>
  <c r="G64" i="6"/>
  <c r="J119" i="6"/>
  <c r="D33" i="6"/>
  <c r="L150" i="6"/>
  <c r="G107" i="6"/>
  <c r="M140" i="6"/>
  <c r="J161" i="6"/>
  <c r="M143" i="6"/>
  <c r="J91" i="6"/>
  <c r="G39" i="6"/>
  <c r="H107" i="6"/>
  <c r="K24" i="6"/>
  <c r="I112" i="6"/>
  <c r="M162" i="6"/>
  <c r="G59" i="6"/>
  <c r="D50" i="6"/>
  <c r="H79" i="6"/>
  <c r="G91" i="6"/>
  <c r="J37" i="6"/>
  <c r="H43" i="6"/>
  <c r="J35" i="6"/>
  <c r="K73" i="6"/>
  <c r="M41" i="6"/>
  <c r="L58" i="6"/>
  <c r="H89" i="6"/>
  <c r="M22" i="6"/>
  <c r="H125" i="6"/>
  <c r="J145" i="6"/>
  <c r="G165" i="6"/>
  <c r="J115" i="6"/>
  <c r="H151" i="6"/>
  <c r="D162" i="6"/>
  <c r="D80" i="6"/>
  <c r="I29" i="6"/>
  <c r="K135" i="6"/>
  <c r="D56" i="6"/>
  <c r="D36" i="6"/>
  <c r="M44" i="6"/>
  <c r="I74" i="6"/>
  <c r="M36" i="6"/>
  <c r="H115" i="6"/>
  <c r="D25" i="6"/>
  <c r="L27" i="6"/>
  <c r="M139" i="6"/>
  <c r="I97" i="6"/>
  <c r="M43" i="6"/>
  <c r="I23" i="6"/>
  <c r="K129" i="6"/>
  <c r="D115" i="6"/>
  <c r="L105" i="6"/>
  <c r="H50" i="6"/>
  <c r="I50" i="6"/>
  <c r="H116" i="6"/>
  <c r="G101" i="6"/>
  <c r="H165" i="6"/>
  <c r="J39" i="6"/>
  <c r="H124" i="6"/>
  <c r="M113" i="6"/>
  <c r="L16" i="6"/>
  <c r="H47" i="6"/>
  <c r="K63" i="6"/>
  <c r="G158" i="6"/>
  <c r="J134" i="6"/>
  <c r="L46" i="6"/>
  <c r="H31" i="6"/>
  <c r="G82" i="6"/>
  <c r="H83" i="6"/>
  <c r="K79" i="6"/>
  <c r="D134" i="6"/>
  <c r="J45" i="6"/>
  <c r="L28" i="6"/>
  <c r="M65" i="6"/>
  <c r="G116" i="6"/>
  <c r="K145" i="6"/>
  <c r="J110" i="6"/>
  <c r="J107" i="6"/>
  <c r="D122" i="6"/>
  <c r="M58" i="6"/>
  <c r="H140" i="6"/>
  <c r="I114" i="6"/>
  <c r="D55" i="6"/>
  <c r="M68" i="6"/>
  <c r="K113" i="6"/>
  <c r="K140" i="6"/>
  <c r="G104" i="6"/>
  <c r="M153" i="6"/>
  <c r="K49" i="6"/>
  <c r="D154" i="6"/>
  <c r="M98" i="6"/>
  <c r="J125" i="6"/>
  <c r="H19" i="6"/>
  <c r="K103" i="6"/>
  <c r="D113" i="6"/>
  <c r="K28" i="6"/>
  <c r="D132" i="6"/>
  <c r="L165" i="6"/>
  <c r="J64" i="6"/>
  <c r="D155" i="6"/>
  <c r="K139" i="6"/>
  <c r="I39" i="6"/>
  <c r="G110" i="6"/>
  <c r="J16" i="6"/>
  <c r="J137" i="6"/>
  <c r="J34" i="6"/>
  <c r="J26" i="6"/>
  <c r="K35" i="6"/>
  <c r="G52" i="6"/>
  <c r="J103" i="6"/>
  <c r="G90" i="6"/>
  <c r="G65" i="6"/>
  <c r="H27" i="6"/>
  <c r="D45" i="6"/>
  <c r="G118" i="6"/>
  <c r="G108" i="6"/>
  <c r="L59" i="6"/>
  <c r="L95" i="6"/>
  <c r="K22" i="6"/>
  <c r="M61" i="6"/>
  <c r="D96" i="6"/>
  <c r="M60" i="6"/>
  <c r="K81" i="6"/>
  <c r="I132" i="6"/>
  <c r="D123" i="6"/>
  <c r="G30" i="6"/>
  <c r="D150" i="6"/>
  <c r="I101" i="6"/>
  <c r="L159" i="6"/>
  <c r="K123" i="6"/>
  <c r="M100" i="6"/>
  <c r="D110" i="6"/>
  <c r="L161" i="6"/>
  <c r="G18" i="6"/>
  <c r="J120" i="6"/>
  <c r="J30" i="6"/>
  <c r="I130" i="6"/>
  <c r="H148" i="6"/>
  <c r="H84" i="6"/>
  <c r="L102" i="6"/>
  <c r="J121" i="6"/>
  <c r="L127" i="6"/>
  <c r="H26" i="6"/>
  <c r="G128" i="6"/>
  <c r="D95" i="6"/>
  <c r="G157" i="6"/>
  <c r="K29" i="6"/>
  <c r="G62" i="6"/>
  <c r="M42" i="6"/>
  <c r="H103" i="6"/>
  <c r="D24" i="6"/>
  <c r="J132" i="6"/>
  <c r="K19" i="6"/>
  <c r="I137" i="6"/>
  <c r="K72" i="6"/>
  <c r="L57" i="6"/>
  <c r="I160" i="6"/>
  <c r="H143" i="6"/>
  <c r="I142" i="6"/>
  <c r="L142" i="6"/>
  <c r="L143" i="6"/>
  <c r="I78" i="6"/>
  <c r="D59" i="6"/>
  <c r="G49" i="6"/>
  <c r="K88" i="6"/>
  <c r="K96" i="6"/>
  <c r="H17" i="6"/>
  <c r="G164" i="6"/>
  <c r="I92" i="6"/>
  <c r="M67" i="6"/>
  <c r="H99" i="6"/>
  <c r="H16" i="6"/>
  <c r="L117" i="6"/>
  <c r="H78" i="6"/>
  <c r="M127" i="6"/>
  <c r="L130" i="6"/>
  <c r="J60" i="6"/>
  <c r="G16" i="6"/>
  <c r="I51" i="6"/>
  <c r="M93" i="6"/>
  <c r="J25" i="6"/>
  <c r="I70" i="6"/>
  <c r="K162" i="6"/>
  <c r="D86" i="6"/>
  <c r="H111" i="6"/>
  <c r="K141" i="6"/>
  <c r="D149" i="6"/>
  <c r="L115" i="6"/>
  <c r="K128" i="6"/>
  <c r="D128" i="6"/>
  <c r="H44" i="6"/>
  <c r="I47" i="6"/>
  <c r="K47" i="6"/>
  <c r="I20" i="6"/>
  <c r="D87" i="6"/>
  <c r="D159" i="6"/>
  <c r="H141" i="6"/>
  <c r="L65" i="6"/>
  <c r="H56" i="6"/>
  <c r="D90" i="6"/>
  <c r="I71" i="6"/>
  <c r="M18" i="6"/>
  <c r="K57" i="6"/>
  <c r="D61" i="6"/>
  <c r="J151" i="6"/>
  <c r="K36" i="6"/>
  <c r="H128" i="6"/>
  <c r="L126" i="6"/>
  <c r="I135" i="6"/>
  <c r="K132" i="6"/>
  <c r="D31" i="6"/>
  <c r="J55" i="6"/>
  <c r="M85" i="6"/>
  <c r="L26" i="6"/>
  <c r="M120" i="6"/>
  <c r="L139" i="6"/>
  <c r="M79" i="6"/>
  <c r="L160" i="6"/>
  <c r="M35" i="6"/>
  <c r="D82" i="6"/>
  <c r="K143" i="6"/>
  <c r="H25" i="6"/>
  <c r="K14" i="6"/>
  <c r="H20" i="6"/>
  <c r="L78" i="6"/>
  <c r="D161" i="6"/>
  <c r="G27" i="6"/>
  <c r="H85" i="6"/>
  <c r="I60" i="6"/>
  <c r="M110" i="6"/>
  <c r="H109" i="6"/>
  <c r="J21" i="6"/>
  <c r="J89" i="6"/>
  <c r="D79" i="6"/>
  <c r="H51" i="6"/>
  <c r="L153" i="6"/>
  <c r="G140" i="6"/>
  <c r="I56" i="6"/>
  <c r="L125" i="6"/>
  <c r="G126" i="6"/>
  <c r="G146" i="6"/>
  <c r="I154" i="6"/>
  <c r="L79" i="6"/>
  <c r="G112" i="6"/>
  <c r="I145" i="6"/>
  <c r="H81" i="6"/>
  <c r="D18" i="6"/>
  <c r="J135" i="6"/>
  <c r="J73" i="6"/>
  <c r="J130" i="6"/>
  <c r="K21" i="6"/>
  <c r="G95" i="6"/>
  <c r="H133" i="6"/>
  <c r="J36" i="6"/>
  <c r="L29" i="6"/>
  <c r="H146" i="6"/>
  <c r="M105" i="6"/>
  <c r="J76" i="6"/>
  <c r="I35" i="6"/>
  <c r="M63" i="6"/>
  <c r="H145" i="6"/>
  <c r="J143" i="6"/>
  <c r="K51" i="6"/>
  <c r="I44" i="6"/>
  <c r="G55" i="6"/>
  <c r="H35" i="6"/>
  <c r="M154" i="6"/>
  <c r="I156" i="6"/>
  <c r="M59" i="6"/>
  <c r="J62" i="6"/>
  <c r="H49" i="6"/>
  <c r="D73" i="6"/>
  <c r="M33" i="6"/>
  <c r="H161" i="6"/>
  <c r="H114" i="6"/>
  <c r="D27" i="6"/>
  <c r="I68" i="6"/>
  <c r="M94" i="6"/>
  <c r="L48" i="6"/>
  <c r="K154" i="6"/>
  <c r="H144" i="6"/>
  <c r="H54" i="6"/>
  <c r="D48" i="6"/>
  <c r="H64" i="6"/>
  <c r="G72" i="6"/>
  <c r="J105" i="6"/>
  <c r="G17" i="6"/>
  <c r="G122" i="6"/>
  <c r="D29" i="6"/>
  <c r="L92" i="6"/>
  <c r="G45" i="6"/>
  <c r="G119" i="6"/>
  <c r="D153" i="6"/>
  <c r="G43" i="6"/>
  <c r="I117" i="6"/>
  <c r="L42" i="6"/>
  <c r="K37" i="6"/>
  <c r="M157" i="6"/>
  <c r="H67" i="6"/>
  <c r="M147" i="6"/>
  <c r="D99" i="6"/>
  <c r="J19" i="6"/>
  <c r="L39" i="6"/>
  <c r="D136" i="6"/>
  <c r="L124" i="6"/>
  <c r="I52" i="6"/>
  <c r="L157" i="6"/>
  <c r="G132" i="6"/>
  <c r="L118" i="6"/>
  <c r="J23" i="6"/>
  <c r="L144" i="6"/>
  <c r="J43" i="6"/>
  <c r="L25" i="6"/>
  <c r="J150" i="6"/>
  <c r="G78" i="6"/>
  <c r="H101" i="6"/>
  <c r="I24" i="6"/>
  <c r="K76" i="6"/>
  <c r="I124" i="6"/>
  <c r="J47" i="6"/>
  <c r="G67" i="6"/>
  <c r="K54" i="6"/>
  <c r="L84" i="6"/>
  <c r="K68" i="6"/>
  <c r="M137" i="6"/>
  <c r="J40" i="6"/>
  <c r="D47" i="6"/>
  <c r="D163" i="6"/>
  <c r="L47" i="6"/>
  <c r="G14" i="6"/>
  <c r="G25" i="6"/>
  <c r="M69" i="6"/>
  <c r="J69" i="6"/>
  <c r="L129" i="6"/>
  <c r="K163" i="6"/>
  <c r="I42" i="6"/>
  <c r="D64" i="6"/>
  <c r="H48" i="6"/>
  <c r="D49" i="6"/>
  <c r="D71" i="6"/>
  <c r="L23" i="6"/>
  <c r="K52" i="6"/>
  <c r="J97" i="6"/>
  <c r="D52" i="6"/>
  <c r="D157" i="6"/>
  <c r="D32" i="6"/>
  <c r="K16" i="6"/>
  <c r="J129" i="6"/>
  <c r="M38" i="6"/>
  <c r="D22" i="6"/>
  <c r="H52" i="6"/>
  <c r="M81" i="6"/>
  <c r="H104" i="6"/>
  <c r="L61" i="6"/>
  <c r="J106" i="6"/>
  <c r="D30" i="6"/>
  <c r="D68" i="6"/>
  <c r="D164" i="6"/>
  <c r="J33" i="6"/>
  <c r="L156" i="6"/>
  <c r="G160" i="6"/>
  <c r="D62" i="6"/>
  <c r="H163" i="6"/>
  <c r="H58" i="6"/>
  <c r="M122" i="6"/>
  <c r="G83" i="6"/>
  <c r="I115" i="6"/>
  <c r="G22" i="6"/>
  <c r="J18" i="6"/>
  <c r="J101" i="6"/>
  <c r="I105" i="6"/>
  <c r="D54" i="6"/>
  <c r="I139" i="6"/>
  <c r="I159" i="6"/>
  <c r="L93" i="6"/>
  <c r="G163" i="6"/>
  <c r="M116" i="6"/>
  <c r="J140" i="6"/>
  <c r="K161" i="6"/>
  <c r="K104" i="6"/>
  <c r="G100" i="6"/>
  <c r="K112" i="6"/>
  <c r="K55" i="6"/>
  <c r="H63" i="6"/>
  <c r="M48" i="6"/>
  <c r="H119" i="6"/>
  <c r="L56" i="6"/>
  <c r="J139" i="6"/>
  <c r="H96" i="6"/>
  <c r="J63" i="6"/>
  <c r="I79" i="6"/>
  <c r="G92" i="6"/>
  <c r="K86" i="6"/>
  <c r="L96" i="6"/>
  <c r="I136" i="6"/>
  <c r="D106" i="6"/>
  <c r="L154" i="6"/>
  <c r="K152" i="6"/>
  <c r="H132" i="6"/>
  <c r="M45" i="6"/>
  <c r="D35" i="6"/>
  <c r="L30" i="6"/>
  <c r="L87" i="6"/>
  <c r="M62" i="6"/>
  <c r="G38" i="6"/>
  <c r="I48" i="6"/>
  <c r="D98" i="6"/>
  <c r="I82" i="6"/>
  <c r="G19" i="6"/>
  <c r="I110" i="6"/>
  <c r="D131" i="6"/>
  <c r="J53" i="6"/>
  <c r="I14" i="6"/>
  <c r="D121" i="6"/>
  <c r="G33" i="6"/>
  <c r="M126" i="6"/>
  <c r="M74" i="6"/>
  <c r="M124" i="6"/>
  <c r="H42" i="6"/>
  <c r="J51" i="6"/>
  <c r="I86" i="6"/>
  <c r="D142" i="6"/>
  <c r="H118" i="6"/>
  <c r="G99" i="6"/>
  <c r="M95" i="6"/>
  <c r="L37" i="6"/>
  <c r="G89" i="6"/>
  <c r="D16" i="6"/>
  <c r="K44" i="6"/>
  <c r="K77" i="6"/>
  <c r="J77" i="6"/>
  <c r="J156" i="6"/>
  <c r="I157" i="6"/>
  <c r="G120" i="6"/>
  <c r="M108" i="6"/>
  <c r="L122" i="6"/>
  <c r="G156" i="6"/>
  <c r="M27" i="6"/>
  <c r="L164" i="6"/>
  <c r="L32" i="6"/>
  <c r="H108" i="6"/>
  <c r="J81" i="6"/>
  <c r="K85" i="6"/>
  <c r="L138" i="6"/>
  <c r="H139" i="6"/>
  <c r="D84" i="6"/>
  <c r="J78" i="6"/>
  <c r="D19" i="6"/>
  <c r="L152" i="6"/>
  <c r="H159" i="6"/>
  <c r="L91" i="6"/>
  <c r="G109" i="6"/>
  <c r="D69" i="6"/>
  <c r="L131" i="6"/>
  <c r="L22" i="6"/>
  <c r="I106" i="6"/>
  <c r="I152" i="6"/>
  <c r="H34" i="6"/>
  <c r="L114" i="6"/>
  <c r="I49" i="6"/>
  <c r="I102" i="6"/>
  <c r="K105" i="6"/>
  <c r="G42" i="6"/>
  <c r="I58" i="6"/>
  <c r="L97" i="6"/>
  <c r="L44" i="6"/>
  <c r="G54" i="6"/>
  <c r="I62" i="6"/>
  <c r="L145" i="6"/>
  <c r="L54" i="6"/>
  <c r="I34" i="6"/>
  <c r="H134" i="6"/>
  <c r="M39" i="6"/>
  <c r="G60" i="6"/>
  <c r="K67" i="6"/>
  <c r="L33" i="6"/>
  <c r="J88" i="6"/>
  <c r="H120" i="6"/>
  <c r="H87" i="6"/>
  <c r="H71" i="6"/>
  <c r="G94" i="6"/>
  <c r="J95" i="6"/>
  <c r="I59" i="6"/>
  <c r="K31" i="6"/>
  <c r="G37" i="6"/>
  <c r="L103" i="6"/>
  <c r="G136" i="6"/>
  <c r="J80" i="6"/>
  <c r="J68" i="6"/>
  <c r="I144" i="6"/>
  <c r="D74" i="6"/>
  <c r="L99" i="6"/>
  <c r="J22" i="6"/>
  <c r="L107" i="6"/>
  <c r="K116" i="6"/>
  <c r="G148" i="6"/>
  <c r="G76" i="6"/>
  <c r="K127" i="6"/>
  <c r="M17" i="6"/>
  <c r="H39" i="6"/>
  <c r="J14" i="6"/>
  <c r="G74" i="6"/>
  <c r="L109" i="6"/>
  <c r="G47" i="6"/>
  <c r="L134" i="6"/>
  <c r="H154" i="6"/>
  <c r="I17" i="6"/>
  <c r="D143" i="6"/>
  <c r="I153" i="6"/>
  <c r="I76" i="6"/>
  <c r="D158" i="6"/>
  <c r="M26" i="6"/>
  <c r="I133" i="6"/>
  <c r="J87" i="6"/>
  <c r="D17" i="6"/>
  <c r="M21" i="6"/>
  <c r="I143" i="6"/>
  <c r="M119" i="6"/>
  <c r="J50" i="6"/>
  <c r="K124" i="6"/>
  <c r="L72" i="6"/>
  <c r="D144" i="6"/>
  <c r="G134" i="6"/>
  <c r="J92" i="6"/>
  <c r="L70" i="6"/>
  <c r="K134" i="6"/>
  <c r="G155" i="6"/>
  <c r="I141" i="6"/>
  <c r="K98" i="6"/>
  <c r="M159" i="6"/>
  <c r="L74" i="6"/>
  <c r="G79" i="6"/>
  <c r="M112" i="6"/>
  <c r="G149" i="6"/>
  <c r="M149" i="6"/>
  <c r="G35" i="6"/>
  <c r="I122" i="6"/>
  <c r="H61" i="6"/>
  <c r="G138" i="6"/>
  <c r="H110" i="6"/>
  <c r="I28" i="6"/>
  <c r="K158" i="6"/>
  <c r="D94" i="6"/>
  <c r="J56" i="6"/>
  <c r="M148" i="6"/>
  <c r="L94" i="6"/>
  <c r="K97" i="6"/>
  <c r="I123" i="6"/>
  <c r="M97" i="6"/>
  <c r="I91" i="6"/>
  <c r="D111" i="6"/>
  <c r="I87" i="6"/>
  <c r="H156" i="6"/>
  <c r="H46" i="6"/>
  <c r="J142" i="6"/>
  <c r="I15" i="6"/>
  <c r="I165" i="6"/>
  <c r="H150" i="6"/>
  <c r="L106" i="6"/>
  <c r="J152" i="6"/>
  <c r="D141" i="6"/>
  <c r="M91" i="6"/>
  <c r="J49" i="6"/>
  <c r="L60" i="6"/>
  <c r="L155" i="6"/>
  <c r="L146" i="6"/>
  <c r="D70" i="6"/>
  <c r="D72" i="6"/>
  <c r="H93" i="6"/>
  <c r="M114" i="6"/>
  <c r="J147" i="6"/>
  <c r="K59" i="6"/>
  <c r="I85" i="6"/>
  <c r="M145" i="6"/>
  <c r="I22" i="6"/>
  <c r="L17" i="6"/>
  <c r="G142" i="6"/>
  <c r="J98" i="6"/>
  <c r="K48" i="6"/>
  <c r="M32" i="6"/>
  <c r="D91" i="6"/>
  <c r="D77" i="6"/>
  <c r="L14" i="6"/>
  <c r="L35" i="6"/>
  <c r="I88" i="6"/>
  <c r="J154" i="6"/>
  <c r="M87" i="6"/>
  <c r="M24" i="6"/>
  <c r="M107" i="6"/>
  <c r="M130" i="6"/>
  <c r="M64" i="6"/>
  <c r="L108" i="6"/>
  <c r="K62" i="6"/>
  <c r="H105" i="6"/>
  <c r="L104" i="6"/>
  <c r="M54" i="6"/>
  <c r="J141" i="6"/>
  <c r="K20" i="6"/>
  <c r="I155" i="6"/>
  <c r="I95" i="6"/>
  <c r="H45" i="6"/>
  <c r="D46" i="6"/>
  <c r="M89" i="6"/>
  <c r="J38" i="6"/>
  <c r="M133" i="6"/>
  <c r="M66" i="6"/>
  <c r="H158" i="6"/>
  <c r="M37" i="6"/>
  <c r="D156" i="6"/>
  <c r="K41" i="6"/>
  <c r="K83" i="6"/>
  <c r="M90" i="6"/>
  <c r="I148" i="6"/>
  <c r="D21" i="6"/>
  <c r="D103" i="6"/>
  <c r="L34" i="6"/>
  <c r="K26" i="6"/>
  <c r="L113" i="6"/>
  <c r="M23" i="6"/>
  <c r="J133" i="6"/>
  <c r="K149" i="6"/>
  <c r="J70" i="6"/>
  <c r="G144" i="6"/>
  <c r="I111" i="6"/>
  <c r="M31" i="6"/>
  <c r="I73" i="6"/>
  <c r="J94" i="6"/>
  <c r="J24" i="6"/>
  <c r="L24" i="6"/>
  <c r="G123" i="6"/>
  <c r="I41" i="6"/>
  <c r="M46" i="6"/>
  <c r="K106" i="6"/>
  <c r="L148" i="6"/>
  <c r="J15" i="6"/>
  <c r="J117" i="6"/>
  <c r="K121" i="6"/>
  <c r="D42" i="6"/>
  <c r="H62" i="6"/>
  <c r="K93" i="6"/>
  <c r="G106" i="6"/>
  <c r="I27" i="6"/>
  <c r="J146" i="6"/>
  <c r="I37" i="6"/>
  <c r="H91" i="6"/>
  <c r="M71" i="6"/>
  <c r="L136" i="6"/>
  <c r="K53" i="6"/>
  <c r="G166" i="6" l="1"/>
  <c r="E4" i="155"/>
  <c r="E6" i="155" s="1"/>
  <c r="E107" i="6"/>
  <c r="E69" i="6"/>
  <c r="E30" i="6"/>
  <c r="F124" i="6"/>
  <c r="E55" i="6"/>
  <c r="E67" i="6"/>
  <c r="E127" i="6"/>
  <c r="E43" i="6"/>
  <c r="F96" i="6"/>
  <c r="E138" i="6"/>
  <c r="E62" i="6"/>
  <c r="F67" i="6"/>
  <c r="E71" i="6"/>
  <c r="F130" i="6"/>
  <c r="E104" i="6"/>
  <c r="E70" i="6"/>
  <c r="E134" i="6"/>
  <c r="F147" i="6"/>
  <c r="E23" i="6"/>
  <c r="E89" i="6"/>
  <c r="F71" i="6"/>
  <c r="E136" i="6"/>
  <c r="F154" i="6"/>
  <c r="E37" i="6"/>
  <c r="F86" i="6"/>
  <c r="F70" i="6"/>
  <c r="E42" i="6"/>
  <c r="E35" i="6"/>
  <c r="F80" i="6"/>
  <c r="E56" i="6"/>
  <c r="E144" i="6"/>
  <c r="E163" i="6"/>
  <c r="F50" i="6"/>
  <c r="F31" i="6"/>
  <c r="F139" i="6"/>
  <c r="F58" i="6"/>
  <c r="F94" i="6"/>
  <c r="F157" i="6"/>
  <c r="F102" i="6"/>
  <c r="E161" i="6"/>
  <c r="E92" i="6"/>
  <c r="F150" i="6"/>
  <c r="E75" i="6"/>
  <c r="F16" i="6"/>
  <c r="F37" i="6"/>
  <c r="F92" i="6"/>
  <c r="F128" i="6"/>
  <c r="E142" i="6"/>
  <c r="E81" i="6"/>
  <c r="F132" i="6"/>
  <c r="F106" i="6"/>
  <c r="E79" i="6"/>
  <c r="E125" i="6"/>
  <c r="E141" i="6"/>
  <c r="F82" i="6"/>
  <c r="E120" i="6"/>
  <c r="E133" i="6"/>
  <c r="E58" i="6"/>
  <c r="E121" i="6"/>
  <c r="F85" i="6"/>
  <c r="F40" i="6"/>
  <c r="F158" i="6"/>
  <c r="E48" i="6"/>
  <c r="F136" i="6"/>
  <c r="E95" i="6"/>
  <c r="F104" i="6"/>
  <c r="F60" i="6"/>
  <c r="E159" i="6"/>
  <c r="F99" i="6"/>
  <c r="E64" i="6"/>
  <c r="F19" i="6"/>
  <c r="F144" i="6"/>
  <c r="E77" i="6"/>
  <c r="E126" i="6"/>
  <c r="E114" i="6"/>
  <c r="F43" i="6"/>
  <c r="F160" i="6"/>
  <c r="F117" i="6"/>
  <c r="F46" i="6"/>
  <c r="E66" i="6"/>
  <c r="E83" i="6"/>
  <c r="E123" i="6"/>
  <c r="E97" i="6"/>
  <c r="F63" i="6"/>
  <c r="F49" i="6"/>
  <c r="F100" i="6"/>
  <c r="F25" i="6"/>
  <c r="E155" i="6"/>
  <c r="F129" i="6"/>
  <c r="E21" i="6"/>
  <c r="E16" i="6"/>
  <c r="F90" i="6"/>
  <c r="F51" i="6"/>
  <c r="F91" i="6"/>
  <c r="E124" i="6"/>
  <c r="F138" i="6"/>
  <c r="E49" i="6"/>
  <c r="F44" i="6"/>
  <c r="F64" i="6"/>
  <c r="F18" i="6"/>
  <c r="F20" i="6"/>
  <c r="E14" i="6"/>
  <c r="E100" i="6"/>
  <c r="F15" i="6"/>
  <c r="F35" i="6"/>
  <c r="F146" i="6"/>
  <c r="E74" i="6"/>
  <c r="E143" i="6"/>
  <c r="F24" i="6"/>
  <c r="F83" i="6"/>
  <c r="F78" i="6"/>
  <c r="E115" i="6"/>
  <c r="E106" i="6"/>
  <c r="E112" i="6"/>
  <c r="E156" i="6"/>
  <c r="E80" i="6"/>
  <c r="E139" i="6"/>
  <c r="F23" i="6"/>
  <c r="F164" i="6"/>
  <c r="E78" i="6"/>
  <c r="E135" i="6"/>
  <c r="E18" i="6"/>
  <c r="F81" i="6"/>
  <c r="E20" i="6"/>
  <c r="E31" i="6"/>
  <c r="E162" i="6"/>
  <c r="F134" i="6"/>
  <c r="F93" i="6"/>
  <c r="F32" i="6"/>
  <c r="E150" i="6"/>
  <c r="F118" i="6"/>
  <c r="F153" i="6"/>
  <c r="F29" i="6"/>
  <c r="E28" i="6"/>
  <c r="E54" i="6"/>
  <c r="F26" i="6"/>
  <c r="E17" i="6"/>
  <c r="E51" i="6"/>
  <c r="E46" i="6"/>
  <c r="E140" i="6"/>
  <c r="F39" i="6"/>
  <c r="E131" i="6"/>
  <c r="F120" i="6"/>
  <c r="F41" i="6"/>
  <c r="F34" i="6"/>
  <c r="E145" i="6"/>
  <c r="E33" i="6"/>
  <c r="E119" i="6"/>
  <c r="E152" i="6"/>
  <c r="E99" i="6"/>
  <c r="F151" i="6"/>
  <c r="F79" i="6"/>
  <c r="E137" i="6"/>
  <c r="E118" i="6"/>
  <c r="F163" i="6"/>
  <c r="F149" i="6"/>
  <c r="E111" i="6"/>
  <c r="E153" i="6"/>
  <c r="F61" i="6"/>
  <c r="E147" i="6"/>
  <c r="E103" i="6"/>
  <c r="E149" i="6"/>
  <c r="E45" i="6"/>
  <c r="E90" i="6"/>
  <c r="F47" i="6"/>
  <c r="F161" i="6"/>
  <c r="E27" i="6"/>
  <c r="E158" i="6"/>
  <c r="F53" i="6"/>
  <c r="F28" i="6"/>
  <c r="F114" i="6"/>
  <c r="F57" i="6"/>
  <c r="E36" i="6"/>
  <c r="E105" i="6"/>
  <c r="F42" i="6"/>
  <c r="F22" i="6"/>
  <c r="F145" i="6"/>
  <c r="E116" i="6"/>
  <c r="F122" i="6"/>
  <c r="E26" i="6"/>
  <c r="F45" i="6"/>
  <c r="F131" i="6"/>
  <c r="E53" i="6"/>
  <c r="F119" i="6"/>
  <c r="E38" i="6"/>
  <c r="E87" i="6"/>
  <c r="F155" i="6"/>
  <c r="F33" i="6"/>
  <c r="F73" i="6"/>
  <c r="F135" i="6"/>
  <c r="E151" i="6"/>
  <c r="E40" i="6"/>
  <c r="F56" i="6"/>
  <c r="E68" i="6"/>
  <c r="E61" i="6"/>
  <c r="E57" i="6"/>
  <c r="E146" i="6"/>
  <c r="E59" i="6"/>
  <c r="E72" i="6"/>
  <c r="F48" i="6"/>
  <c r="F125" i="6"/>
  <c r="E148" i="6"/>
  <c r="E113" i="6"/>
  <c r="F21" i="6"/>
  <c r="F27" i="6"/>
  <c r="E63" i="6"/>
  <c r="F30" i="6"/>
  <c r="F143" i="6"/>
  <c r="F68" i="6"/>
  <c r="F89" i="6"/>
  <c r="E24" i="6"/>
  <c r="E88" i="6"/>
  <c r="E164" i="6"/>
  <c r="F54" i="6"/>
  <c r="E39" i="6"/>
  <c r="E160" i="6"/>
  <c r="E91" i="6"/>
  <c r="E128" i="6"/>
  <c r="E25" i="6"/>
  <c r="F110" i="6"/>
  <c r="F88" i="6"/>
  <c r="F112" i="6"/>
  <c r="F17" i="6"/>
  <c r="F123" i="6"/>
  <c r="F66" i="6"/>
  <c r="F36" i="6"/>
  <c r="F116" i="6"/>
  <c r="F87" i="6"/>
  <c r="E29" i="6"/>
  <c r="F142" i="6"/>
  <c r="F38" i="6"/>
  <c r="F126" i="6"/>
  <c r="F59" i="6"/>
  <c r="F111" i="6"/>
  <c r="F156" i="6"/>
  <c r="F115" i="6"/>
  <c r="F121" i="6"/>
  <c r="F165" i="6"/>
  <c r="E117" i="6"/>
  <c r="E41" i="6"/>
  <c r="F101" i="6"/>
  <c r="E47" i="6"/>
  <c r="F77" i="6"/>
  <c r="E101" i="6"/>
  <c r="E129" i="6"/>
  <c r="F76" i="6"/>
  <c r="F162" i="6"/>
  <c r="E108" i="6"/>
  <c r="E76" i="6"/>
  <c r="F127" i="6"/>
  <c r="F69" i="6"/>
  <c r="E86" i="6"/>
  <c r="E65" i="6"/>
  <c r="F52" i="6"/>
  <c r="E52" i="6"/>
  <c r="F141" i="6"/>
  <c r="F98" i="6"/>
  <c r="F97" i="6"/>
  <c r="E94" i="6"/>
  <c r="F148" i="6"/>
  <c r="F140" i="6"/>
  <c r="E93" i="6"/>
  <c r="E157" i="6"/>
  <c r="F109" i="6"/>
  <c r="E130" i="6"/>
  <c r="E73" i="6"/>
  <c r="E15" i="6"/>
  <c r="F62" i="6"/>
  <c r="F137" i="6"/>
  <c r="F103" i="6"/>
  <c r="E110" i="6"/>
  <c r="F55" i="6"/>
  <c r="F14" i="6"/>
  <c r="E50" i="6"/>
  <c r="E109" i="6"/>
  <c r="E154" i="6"/>
  <c r="E22" i="6"/>
  <c r="E96" i="6"/>
  <c r="F108" i="6"/>
  <c r="E98" i="6"/>
  <c r="E82" i="6"/>
  <c r="F84" i="6"/>
  <c r="E85" i="6"/>
  <c r="F65" i="6"/>
  <c r="E84" i="6"/>
  <c r="F152" i="6"/>
  <c r="F105" i="6"/>
  <c r="F133" i="6"/>
  <c r="E32" i="6"/>
  <c r="F107" i="6"/>
  <c r="F95" i="6"/>
  <c r="E165" i="6"/>
  <c r="E102" i="6"/>
  <c r="F113" i="6"/>
  <c r="F74" i="6"/>
  <c r="E132" i="6"/>
  <c r="F159" i="6"/>
  <c r="E122" i="6"/>
  <c r="F75" i="6"/>
  <c r="E60" i="6"/>
  <c r="E44" i="6"/>
  <c r="F72" i="6"/>
  <c r="E5" i="155" l="1"/>
  <c r="AV89" i="91"/>
  <c r="AW89" i="91" s="1"/>
  <c r="C85" i="6"/>
  <c r="AS89" i="91"/>
  <c r="AT89" i="91" s="1"/>
  <c r="AM89" i="91"/>
  <c r="AL89" i="91" s="1"/>
  <c r="AP89" i="91"/>
  <c r="AO89" i="91" s="1"/>
  <c r="AS37" i="91"/>
  <c r="AT37" i="91" s="1"/>
  <c r="AV37" i="91"/>
  <c r="AW37" i="91" s="1"/>
  <c r="AM37" i="91"/>
  <c r="C61" i="6"/>
  <c r="AP37" i="91"/>
  <c r="B83" i="6"/>
  <c r="B41" i="6"/>
  <c r="AM56" i="91"/>
  <c r="C54" i="6"/>
  <c r="AS56" i="91"/>
  <c r="AP56" i="91"/>
  <c r="AQ56" i="91" s="1"/>
  <c r="AV56" i="91"/>
  <c r="AW56" i="91" s="1"/>
  <c r="AV101" i="91"/>
  <c r="AW101" i="91" s="1"/>
  <c r="AS101" i="91"/>
  <c r="AT101" i="91" s="1"/>
  <c r="C97" i="6"/>
  <c r="AP101" i="91"/>
  <c r="AQ101" i="91" s="1"/>
  <c r="AM101" i="91"/>
  <c r="AL101" i="91" s="1"/>
  <c r="AM76" i="91"/>
  <c r="AL76" i="91" s="1"/>
  <c r="C72" i="6"/>
  <c r="AS76" i="91"/>
  <c r="AT76" i="91" s="1"/>
  <c r="AP76" i="91"/>
  <c r="AO76" i="91" s="1"/>
  <c r="AV76" i="91"/>
  <c r="AU76" i="91" s="1"/>
  <c r="AV41" i="91"/>
  <c r="AW41" i="91" s="1"/>
  <c r="AM41" i="91"/>
  <c r="AS41" i="91"/>
  <c r="AT41" i="91" s="1"/>
  <c r="AP41" i="91"/>
  <c r="AQ41" i="91" s="1"/>
  <c r="C32" i="6"/>
  <c r="B18" i="6"/>
  <c r="B164" i="6"/>
  <c r="AM59" i="91"/>
  <c r="AV59" i="91"/>
  <c r="AW59" i="91" s="1"/>
  <c r="C33" i="6"/>
  <c r="AS59" i="91"/>
  <c r="AT59" i="91" s="1"/>
  <c r="AP59" i="91"/>
  <c r="C153" i="6"/>
  <c r="AP157" i="91"/>
  <c r="AO157" i="91" s="1"/>
  <c r="AM157" i="91"/>
  <c r="AL157" i="91" s="1"/>
  <c r="AS157" i="91"/>
  <c r="AV157" i="91"/>
  <c r="AW157" i="91" s="1"/>
  <c r="B40" i="6"/>
  <c r="B62" i="6"/>
  <c r="AM24" i="91"/>
  <c r="AV24" i="91"/>
  <c r="C18" i="6"/>
  <c r="AP24" i="91"/>
  <c r="C149" i="6"/>
  <c r="AM153" i="91"/>
  <c r="AL153" i="91" s="1"/>
  <c r="AV153" i="91"/>
  <c r="AU153" i="91" s="1"/>
  <c r="AS153" i="91"/>
  <c r="AT153" i="91" s="1"/>
  <c r="AP153" i="91"/>
  <c r="AO153" i="91" s="1"/>
  <c r="C152" i="6"/>
  <c r="AM156" i="91"/>
  <c r="AP156" i="91"/>
  <c r="AO156" i="91" s="1"/>
  <c r="AV156" i="91"/>
  <c r="AW156" i="91" s="1"/>
  <c r="AS156" i="91"/>
  <c r="AR156" i="91" s="1"/>
  <c r="B156" i="6"/>
  <c r="B24" i="6"/>
  <c r="B150" i="6"/>
  <c r="AP111" i="91"/>
  <c r="AS111" i="91"/>
  <c r="C107" i="6"/>
  <c r="AV111" i="91"/>
  <c r="AU111" i="91" s="1"/>
  <c r="AM111" i="91"/>
  <c r="AL111" i="91" s="1"/>
  <c r="B134" i="6"/>
  <c r="B128" i="6"/>
  <c r="B122" i="6"/>
  <c r="B136" i="6"/>
  <c r="C138" i="6"/>
  <c r="AS142" i="91"/>
  <c r="AR142" i="91" s="1"/>
  <c r="AM142" i="91"/>
  <c r="AL142" i="91" s="1"/>
  <c r="AV142" i="91"/>
  <c r="AU142" i="91" s="1"/>
  <c r="AP142" i="91"/>
  <c r="AQ142" i="91" s="1"/>
  <c r="AS26" i="91"/>
  <c r="AT26" i="91" s="1"/>
  <c r="AM26" i="91"/>
  <c r="AV26" i="91"/>
  <c r="AP26" i="91"/>
  <c r="B101" i="6"/>
  <c r="AP134" i="91"/>
  <c r="AQ134" i="91" s="1"/>
  <c r="AV134" i="91"/>
  <c r="AM134" i="91"/>
  <c r="AL134" i="91" s="1"/>
  <c r="AS134" i="91"/>
  <c r="AR134" i="91" s="1"/>
  <c r="C130" i="6"/>
  <c r="B27" i="6"/>
  <c r="C24" i="6"/>
  <c r="AV32" i="91"/>
  <c r="AS32" i="91"/>
  <c r="AT32" i="91" s="1"/>
  <c r="AP32" i="91"/>
  <c r="AM32" i="91"/>
  <c r="B55" i="6"/>
  <c r="B131" i="6"/>
  <c r="AP166" i="91"/>
  <c r="AQ166" i="91" s="1"/>
  <c r="AV166" i="91"/>
  <c r="AU166" i="91" s="1"/>
  <c r="C162" i="6"/>
  <c r="AM166" i="91"/>
  <c r="AL166" i="91" s="1"/>
  <c r="AS166" i="91"/>
  <c r="AT166" i="91" s="1"/>
  <c r="B159" i="6"/>
  <c r="B64" i="6"/>
  <c r="AS117" i="91"/>
  <c r="AM117" i="91"/>
  <c r="AL117" i="91" s="1"/>
  <c r="AV117" i="91"/>
  <c r="AW117" i="91" s="1"/>
  <c r="C113" i="6"/>
  <c r="AP117" i="91"/>
  <c r="AO117" i="91" s="1"/>
  <c r="B126" i="6"/>
  <c r="B22" i="6"/>
  <c r="AV80" i="91"/>
  <c r="AM80" i="91"/>
  <c r="AL80" i="91" s="1"/>
  <c r="C76" i="6"/>
  <c r="AP80" i="91"/>
  <c r="AO80" i="91" s="1"/>
  <c r="AS80" i="91"/>
  <c r="AT80" i="91" s="1"/>
  <c r="B57" i="6"/>
  <c r="AV23" i="91"/>
  <c r="AP23" i="91"/>
  <c r="AQ23" i="91" s="1"/>
  <c r="C25" i="6"/>
  <c r="AS23" i="91"/>
  <c r="AT23" i="91" s="1"/>
  <c r="AV63" i="91"/>
  <c r="AW63" i="91" s="1"/>
  <c r="C47" i="6"/>
  <c r="AM63" i="91"/>
  <c r="AS63" i="91"/>
  <c r="AP63" i="91"/>
  <c r="AQ63" i="91" s="1"/>
  <c r="AP65" i="91"/>
  <c r="AO65" i="91" s="1"/>
  <c r="C49" i="6"/>
  <c r="AM65" i="91"/>
  <c r="AS65" i="91"/>
  <c r="AV65" i="91"/>
  <c r="AW65" i="91" s="1"/>
  <c r="AV92" i="91"/>
  <c r="AP92" i="91"/>
  <c r="AO92" i="91" s="1"/>
  <c r="AS92" i="91"/>
  <c r="AR92" i="91" s="1"/>
  <c r="C88" i="6"/>
  <c r="AM92" i="91"/>
  <c r="AL92" i="91" s="1"/>
  <c r="AM79" i="91"/>
  <c r="AL79" i="91" s="1"/>
  <c r="AV79" i="91"/>
  <c r="AP79" i="91"/>
  <c r="AQ79" i="91" s="1"/>
  <c r="AS79" i="91"/>
  <c r="AR79" i="91" s="1"/>
  <c r="C75" i="6"/>
  <c r="AM69" i="91"/>
  <c r="AS69" i="91"/>
  <c r="AT69" i="91" s="1"/>
  <c r="C65" i="6"/>
  <c r="AP69" i="91"/>
  <c r="AO69" i="91" s="1"/>
  <c r="AV69" i="91"/>
  <c r="AW69" i="91" s="1"/>
  <c r="AV129" i="91"/>
  <c r="AW129" i="91" s="1"/>
  <c r="AP129" i="91"/>
  <c r="AQ129" i="91" s="1"/>
  <c r="AS129" i="91"/>
  <c r="AR129" i="91" s="1"/>
  <c r="AM129" i="91"/>
  <c r="AL129" i="91" s="1"/>
  <c r="C125" i="6"/>
  <c r="AV51" i="91"/>
  <c r="AW51" i="91" s="1"/>
  <c r="AS51" i="91"/>
  <c r="AT51" i="91" s="1"/>
  <c r="AP51" i="91"/>
  <c r="AQ51" i="91" s="1"/>
  <c r="B130" i="6"/>
  <c r="C131" i="6"/>
  <c r="AV135" i="91"/>
  <c r="AU135" i="91" s="1"/>
  <c r="AP135" i="91"/>
  <c r="AS135" i="91"/>
  <c r="AM135" i="91"/>
  <c r="AL135" i="91" s="1"/>
  <c r="B162" i="6"/>
  <c r="AV138" i="91"/>
  <c r="AU138" i="91" s="1"/>
  <c r="AP138" i="91"/>
  <c r="AQ138" i="91" s="1"/>
  <c r="AS138" i="91"/>
  <c r="AT138" i="91" s="1"/>
  <c r="C134" i="6"/>
  <c r="AM138" i="91"/>
  <c r="AL138" i="91" s="1"/>
  <c r="AV60" i="91"/>
  <c r="AW60" i="91" s="1"/>
  <c r="C63" i="6"/>
  <c r="AP60" i="91"/>
  <c r="AQ60" i="91" s="1"/>
  <c r="AM60" i="91"/>
  <c r="AS60" i="91"/>
  <c r="AT60" i="91" s="1"/>
  <c r="AM83" i="91"/>
  <c r="AL83" i="91" s="1"/>
  <c r="AS83" i="91"/>
  <c r="AP83" i="91"/>
  <c r="AQ83" i="91" s="1"/>
  <c r="AV83" i="91"/>
  <c r="C79" i="6"/>
  <c r="B66" i="6"/>
  <c r="AM28" i="91"/>
  <c r="AV28" i="91"/>
  <c r="AS28" i="91"/>
  <c r="AT28" i="91" s="1"/>
  <c r="AP28" i="91"/>
  <c r="AQ28" i="91" s="1"/>
  <c r="C23" i="6"/>
  <c r="AM20" i="91"/>
  <c r="C22" i="6"/>
  <c r="AP20" i="91"/>
  <c r="AQ20" i="91" s="1"/>
  <c r="AV20" i="91"/>
  <c r="AW20" i="91" s="1"/>
  <c r="AS20" i="91"/>
  <c r="AT20" i="91" s="1"/>
  <c r="B81" i="6"/>
  <c r="C86" i="6"/>
  <c r="AV90" i="91"/>
  <c r="AW90" i="91" s="1"/>
  <c r="AM90" i="91"/>
  <c r="AL90" i="91" s="1"/>
  <c r="AP90" i="91"/>
  <c r="AQ90" i="91" s="1"/>
  <c r="AS90" i="91"/>
  <c r="AT90" i="91" s="1"/>
  <c r="B36" i="6"/>
  <c r="AV48" i="91"/>
  <c r="AW48" i="91" s="1"/>
  <c r="C39" i="6"/>
  <c r="AP48" i="91"/>
  <c r="AM48" i="91"/>
  <c r="AS48" i="91"/>
  <c r="AT48" i="91" s="1"/>
  <c r="B39" i="6"/>
  <c r="B91" i="6"/>
  <c r="B127" i="6"/>
  <c r="AM154" i="91"/>
  <c r="AL154" i="91" s="1"/>
  <c r="AS154" i="91"/>
  <c r="AR154" i="91" s="1"/>
  <c r="C150" i="6"/>
  <c r="AV154" i="91"/>
  <c r="AP154" i="91"/>
  <c r="AV150" i="91"/>
  <c r="AM150" i="91"/>
  <c r="AL150" i="91" s="1"/>
  <c r="C146" i="6"/>
  <c r="AS150" i="91"/>
  <c r="AT150" i="91" s="1"/>
  <c r="AP150" i="91"/>
  <c r="AO150" i="91" s="1"/>
  <c r="C108" i="6"/>
  <c r="AP112" i="91"/>
  <c r="AQ112" i="91" s="1"/>
  <c r="AM112" i="91"/>
  <c r="AL112" i="91" s="1"/>
  <c r="AS112" i="91"/>
  <c r="AR112" i="91" s="1"/>
  <c r="AV112" i="91"/>
  <c r="AW112" i="91" s="1"/>
  <c r="B87" i="6"/>
  <c r="B96" i="6"/>
  <c r="AS115" i="91"/>
  <c r="AR115" i="91" s="1"/>
  <c r="AV115" i="91"/>
  <c r="AU115" i="91" s="1"/>
  <c r="AP115" i="91"/>
  <c r="AQ115" i="91" s="1"/>
  <c r="AM115" i="91"/>
  <c r="AL115" i="91" s="1"/>
  <c r="C111" i="6"/>
  <c r="C87" i="6"/>
  <c r="AS91" i="91"/>
  <c r="AT91" i="91" s="1"/>
  <c r="AP91" i="91"/>
  <c r="AO91" i="91" s="1"/>
  <c r="AM91" i="91"/>
  <c r="AL91" i="91" s="1"/>
  <c r="AV91" i="91"/>
  <c r="AU91" i="91" s="1"/>
  <c r="B88" i="6"/>
  <c r="AP149" i="91"/>
  <c r="AO149" i="91" s="1"/>
  <c r="AM149" i="91"/>
  <c r="AL149" i="91" s="1"/>
  <c r="AV149" i="91"/>
  <c r="AW149" i="91" s="1"/>
  <c r="C145" i="6"/>
  <c r="AS149" i="91"/>
  <c r="AP119" i="91"/>
  <c r="AQ119" i="91" s="1"/>
  <c r="AM119" i="91"/>
  <c r="AL119" i="91" s="1"/>
  <c r="AS119" i="91"/>
  <c r="AT119" i="91" s="1"/>
  <c r="AV119" i="91"/>
  <c r="AU119" i="91" s="1"/>
  <c r="C115" i="6"/>
  <c r="B114" i="6"/>
  <c r="C147" i="6"/>
  <c r="AP151" i="91"/>
  <c r="AQ151" i="91" s="1"/>
  <c r="AS151" i="91"/>
  <c r="AR151" i="91" s="1"/>
  <c r="AM151" i="91"/>
  <c r="AL151" i="91" s="1"/>
  <c r="AV151" i="91"/>
  <c r="AW151" i="91" s="1"/>
  <c r="B37" i="6"/>
  <c r="AP96" i="91"/>
  <c r="AQ96" i="91" s="1"/>
  <c r="AM96" i="91"/>
  <c r="AL96" i="91" s="1"/>
  <c r="AV96" i="91"/>
  <c r="AW96" i="91" s="1"/>
  <c r="C92" i="6"/>
  <c r="AS96" i="91"/>
  <c r="AT96" i="91" s="1"/>
  <c r="B152" i="6"/>
  <c r="B65" i="6"/>
  <c r="AM52" i="91"/>
  <c r="AP52" i="91"/>
  <c r="AQ52" i="91" s="1"/>
  <c r="C50" i="6"/>
  <c r="AV52" i="91"/>
  <c r="AS52" i="91"/>
  <c r="AT52" i="91" s="1"/>
  <c r="B42" i="6"/>
  <c r="B35" i="6"/>
  <c r="C124" i="6"/>
  <c r="AS128" i="91"/>
  <c r="AT128" i="91" s="1"/>
  <c r="AM128" i="91"/>
  <c r="AL128" i="91" s="1"/>
  <c r="AV128" i="91"/>
  <c r="AU128" i="91" s="1"/>
  <c r="AP128" i="91"/>
  <c r="AQ128" i="91" s="1"/>
  <c r="B98" i="6"/>
  <c r="AV50" i="91"/>
  <c r="AW50" i="91" s="1"/>
  <c r="AM50" i="91"/>
  <c r="C17" i="6"/>
  <c r="AS50" i="91"/>
  <c r="AT50" i="91" s="1"/>
  <c r="AP50" i="91"/>
  <c r="AQ50" i="91" s="1"/>
  <c r="AS88" i="91"/>
  <c r="AT88" i="91" s="1"/>
  <c r="AV88" i="91"/>
  <c r="AP88" i="91"/>
  <c r="AQ88" i="91" s="1"/>
  <c r="AM88" i="91"/>
  <c r="AL88" i="91" s="1"/>
  <c r="C84" i="6"/>
  <c r="B121" i="6"/>
  <c r="AS94" i="91"/>
  <c r="AR94" i="91" s="1"/>
  <c r="AM94" i="91"/>
  <c r="AL94" i="91" s="1"/>
  <c r="AP94" i="91"/>
  <c r="AQ94" i="91" s="1"/>
  <c r="AV94" i="91"/>
  <c r="AW94" i="91" s="1"/>
  <c r="C90" i="6"/>
  <c r="AV98" i="91"/>
  <c r="AW98" i="91" s="1"/>
  <c r="AP98" i="91"/>
  <c r="AQ98" i="91" s="1"/>
  <c r="C94" i="6"/>
  <c r="AM98" i="91"/>
  <c r="AL98" i="91" s="1"/>
  <c r="AS98" i="91"/>
  <c r="AR98" i="91" s="1"/>
  <c r="B148" i="6"/>
  <c r="B113" i="6"/>
  <c r="AP55" i="91"/>
  <c r="AQ55" i="91" s="1"/>
  <c r="AS55" i="91"/>
  <c r="AV55" i="91"/>
  <c r="C19" i="6"/>
  <c r="AM55" i="91"/>
  <c r="AV109" i="91"/>
  <c r="AU109" i="91" s="1"/>
  <c r="C105" i="6"/>
  <c r="AS109" i="91"/>
  <c r="AT109" i="91" s="1"/>
  <c r="AM109" i="91"/>
  <c r="AL109" i="91" s="1"/>
  <c r="AP109" i="91"/>
  <c r="AV33" i="91"/>
  <c r="AW33" i="91" s="1"/>
  <c r="AS33" i="91"/>
  <c r="AT33" i="91" s="1"/>
  <c r="C28" i="6"/>
  <c r="AM33" i="91"/>
  <c r="AP33" i="91"/>
  <c r="AQ33" i="91" s="1"/>
  <c r="AS54" i="91"/>
  <c r="AT54" i="91" s="1"/>
  <c r="AV54" i="91"/>
  <c r="AM54" i="91"/>
  <c r="C48" i="6"/>
  <c r="AP54" i="91"/>
  <c r="AQ54" i="91" s="1"/>
  <c r="B117" i="6"/>
  <c r="B157" i="6"/>
  <c r="B118" i="6"/>
  <c r="B95" i="6"/>
  <c r="B141" i="6"/>
  <c r="B49" i="6"/>
  <c r="B85" i="6"/>
  <c r="B20" i="6"/>
  <c r="B135" i="6"/>
  <c r="B92" i="6"/>
  <c r="B104" i="6"/>
  <c r="B124" i="6"/>
  <c r="B132" i="6"/>
  <c r="AP116" i="91"/>
  <c r="AO116" i="91" s="1"/>
  <c r="C112" i="6"/>
  <c r="AM116" i="91"/>
  <c r="AL116" i="91" s="1"/>
  <c r="AV116" i="91"/>
  <c r="AW116" i="91" s="1"/>
  <c r="AS116" i="91"/>
  <c r="AT116" i="91" s="1"/>
  <c r="AS125" i="91"/>
  <c r="AT125" i="91" s="1"/>
  <c r="C121" i="6"/>
  <c r="AV125" i="91"/>
  <c r="AU125" i="91" s="1"/>
  <c r="AP125" i="91"/>
  <c r="AO125" i="91" s="1"/>
  <c r="AM125" i="91"/>
  <c r="AL125" i="91" s="1"/>
  <c r="AV103" i="91"/>
  <c r="AW103" i="91" s="1"/>
  <c r="AS103" i="91"/>
  <c r="AT103" i="91" s="1"/>
  <c r="C99" i="6"/>
  <c r="AM103" i="91"/>
  <c r="AL103" i="91" s="1"/>
  <c r="AP103" i="91"/>
  <c r="AO103" i="91" s="1"/>
  <c r="AM68" i="91"/>
  <c r="AL68" i="91" s="1"/>
  <c r="AV68" i="91"/>
  <c r="AW68" i="91" s="1"/>
  <c r="C64" i="6"/>
  <c r="AP68" i="91"/>
  <c r="AQ68" i="91" s="1"/>
  <c r="AS68" i="91"/>
  <c r="AR68" i="91" s="1"/>
  <c r="B63" i="6"/>
  <c r="AM22" i="91"/>
  <c r="C41" i="6"/>
  <c r="AP22" i="91"/>
  <c r="AQ22" i="91" s="1"/>
  <c r="AS22" i="91"/>
  <c r="AT22" i="91" s="1"/>
  <c r="AV22" i="91"/>
  <c r="AW22" i="91" s="1"/>
  <c r="AP161" i="91"/>
  <c r="AQ161" i="91" s="1"/>
  <c r="C157" i="6"/>
  <c r="AV161" i="91"/>
  <c r="AU161" i="91" s="1"/>
  <c r="AM161" i="91"/>
  <c r="AL161" i="91" s="1"/>
  <c r="AS161" i="91"/>
  <c r="AT161" i="91" s="1"/>
  <c r="AS139" i="91"/>
  <c r="AT139" i="91" s="1"/>
  <c r="C135" i="6"/>
  <c r="AM139" i="91"/>
  <c r="AL139" i="91" s="1"/>
  <c r="AV139" i="91"/>
  <c r="AU139" i="91" s="1"/>
  <c r="AP139" i="91"/>
  <c r="AQ139" i="91" s="1"/>
  <c r="AM40" i="91"/>
  <c r="AV40" i="91"/>
  <c r="C51" i="6"/>
  <c r="AP40" i="91"/>
  <c r="AS40" i="91"/>
  <c r="B71" i="6"/>
  <c r="B76" i="6"/>
  <c r="B94" i="6"/>
  <c r="AV102" i="91"/>
  <c r="AU102" i="91" s="1"/>
  <c r="C98" i="6"/>
  <c r="AS102" i="91"/>
  <c r="AR102" i="91" s="1"/>
  <c r="AM102" i="91"/>
  <c r="AL102" i="91" s="1"/>
  <c r="AP102" i="91"/>
  <c r="AO102" i="91" s="1"/>
  <c r="B149" i="6"/>
  <c r="AP57" i="91"/>
  <c r="AQ57" i="91" s="1"/>
  <c r="C27" i="6"/>
  <c r="AS57" i="91"/>
  <c r="AT57" i="91" s="1"/>
  <c r="AM57" i="91"/>
  <c r="AV57" i="91"/>
  <c r="B73" i="6"/>
  <c r="AP53" i="91"/>
  <c r="AQ53" i="91" s="1"/>
  <c r="AS53" i="91"/>
  <c r="AT53" i="91" s="1"/>
  <c r="C62" i="6"/>
  <c r="AM53" i="91"/>
  <c r="AV53" i="91"/>
  <c r="B133" i="6"/>
  <c r="AS97" i="91"/>
  <c r="AT97" i="91" s="1"/>
  <c r="AV97" i="91"/>
  <c r="AU97" i="91" s="1"/>
  <c r="AM97" i="91"/>
  <c r="AL97" i="91" s="1"/>
  <c r="AP97" i="91"/>
  <c r="AQ97" i="91" s="1"/>
  <c r="C93" i="6"/>
  <c r="AV62" i="91"/>
  <c r="AP62" i="91"/>
  <c r="AQ62" i="91" s="1"/>
  <c r="C46" i="6"/>
  <c r="AS62" i="91"/>
  <c r="AT62" i="91" s="1"/>
  <c r="AM62" i="91"/>
  <c r="B100" i="6"/>
  <c r="B111" i="6"/>
  <c r="B45" i="6"/>
  <c r="AP113" i="91"/>
  <c r="AQ113" i="91" s="1"/>
  <c r="AS113" i="91"/>
  <c r="AR113" i="91" s="1"/>
  <c r="AV113" i="91"/>
  <c r="AU113" i="91" s="1"/>
  <c r="C109" i="6"/>
  <c r="AM113" i="91"/>
  <c r="AL113" i="91" s="1"/>
  <c r="AP123" i="91"/>
  <c r="AQ123" i="91" s="1"/>
  <c r="C119" i="6"/>
  <c r="AV123" i="91"/>
  <c r="AW123" i="91" s="1"/>
  <c r="AM123" i="91"/>
  <c r="AL123" i="91" s="1"/>
  <c r="AS123" i="91"/>
  <c r="B54" i="6"/>
  <c r="B119" i="6"/>
  <c r="B151" i="6"/>
  <c r="AP152" i="91"/>
  <c r="AO152" i="91" s="1"/>
  <c r="AM152" i="91"/>
  <c r="AL152" i="91" s="1"/>
  <c r="C148" i="6"/>
  <c r="AV152" i="91"/>
  <c r="AU152" i="91" s="1"/>
  <c r="AS152" i="91"/>
  <c r="AT152" i="91" s="1"/>
  <c r="B50" i="6"/>
  <c r="AV148" i="91"/>
  <c r="AU148" i="91" s="1"/>
  <c r="AP148" i="91"/>
  <c r="AQ148" i="91" s="1"/>
  <c r="AS148" i="91"/>
  <c r="AR148" i="91" s="1"/>
  <c r="C144" i="6"/>
  <c r="AM148" i="91"/>
  <c r="AL148" i="91" s="1"/>
  <c r="B60" i="6"/>
  <c r="B139" i="6"/>
  <c r="B48" i="6"/>
  <c r="AP164" i="91"/>
  <c r="AO164" i="91" s="1"/>
  <c r="C160" i="6"/>
  <c r="AM164" i="91"/>
  <c r="AL164" i="91" s="1"/>
  <c r="AV164" i="91"/>
  <c r="AS164" i="91"/>
  <c r="AV47" i="91"/>
  <c r="AW47" i="91" s="1"/>
  <c r="AP47" i="91"/>
  <c r="AQ47" i="91" s="1"/>
  <c r="AM47" i="91"/>
  <c r="AS47" i="91"/>
  <c r="C58" i="6"/>
  <c r="AM58" i="91"/>
  <c r="AP58" i="91"/>
  <c r="AO58" i="91" s="1"/>
  <c r="AS58" i="91"/>
  <c r="AT58" i="91" s="1"/>
  <c r="C29" i="6"/>
  <c r="AV58" i="91"/>
  <c r="AV21" i="91"/>
  <c r="AW21" i="91" s="1"/>
  <c r="AS21" i="91"/>
  <c r="AT21" i="91" s="1"/>
  <c r="AP21" i="91"/>
  <c r="AQ21" i="91" s="1"/>
  <c r="C38" i="6"/>
  <c r="AM21" i="91"/>
  <c r="AV95" i="91"/>
  <c r="AU95" i="91" s="1"/>
  <c r="AP95" i="91"/>
  <c r="AO95" i="91" s="1"/>
  <c r="C91" i="6"/>
  <c r="AM95" i="91"/>
  <c r="AL95" i="91" s="1"/>
  <c r="AS95" i="91"/>
  <c r="AR95" i="91" s="1"/>
  <c r="B38" i="6"/>
  <c r="B46" i="6"/>
  <c r="B86" i="6"/>
  <c r="B51" i="6"/>
  <c r="AS132" i="91"/>
  <c r="AT132" i="91" s="1"/>
  <c r="AP132" i="91"/>
  <c r="AO132" i="91" s="1"/>
  <c r="C128" i="6"/>
  <c r="AV132" i="91"/>
  <c r="AU132" i="91" s="1"/>
  <c r="AM132" i="91"/>
  <c r="AL132" i="91" s="1"/>
  <c r="B59" i="6"/>
  <c r="B28" i="6"/>
  <c r="AV25" i="91"/>
  <c r="AP25" i="91"/>
  <c r="AQ25" i="91" s="1"/>
  <c r="AM25" i="91"/>
  <c r="AS25" i="91"/>
  <c r="AT25" i="91" s="1"/>
  <c r="C31" i="6"/>
  <c r="B21" i="6"/>
  <c r="B61" i="6"/>
  <c r="AP27" i="91"/>
  <c r="AQ27" i="91" s="1"/>
  <c r="AS27" i="91"/>
  <c r="AM27" i="91"/>
  <c r="AV27" i="91"/>
  <c r="C37" i="6"/>
  <c r="AS44" i="91"/>
  <c r="AT44" i="91" s="1"/>
  <c r="AM44" i="91"/>
  <c r="AV44" i="91"/>
  <c r="AW44" i="91" s="1"/>
  <c r="AP44" i="91"/>
  <c r="AQ44" i="91" s="1"/>
  <c r="C55" i="6"/>
  <c r="AM162" i="91"/>
  <c r="AL162" i="91" s="1"/>
  <c r="AV162" i="91"/>
  <c r="AU162" i="91" s="1"/>
  <c r="AP162" i="91"/>
  <c r="AQ162" i="91" s="1"/>
  <c r="C158" i="6"/>
  <c r="AS162" i="91"/>
  <c r="AT162" i="91" s="1"/>
  <c r="B147" i="6"/>
  <c r="AP67" i="91"/>
  <c r="AQ67" i="91" s="1"/>
  <c r="C60" i="6"/>
  <c r="AS67" i="91"/>
  <c r="AT67" i="91" s="1"/>
  <c r="AV67" i="91"/>
  <c r="AW67" i="91" s="1"/>
  <c r="AM67" i="91"/>
  <c r="AL67" i="91" s="1"/>
  <c r="B89" i="6"/>
  <c r="B125" i="6"/>
  <c r="B56" i="6"/>
  <c r="B103" i="6"/>
  <c r="C127" i="6"/>
  <c r="AS131" i="91"/>
  <c r="AV131" i="91"/>
  <c r="AU131" i="91" s="1"/>
  <c r="AM131" i="91"/>
  <c r="AL131" i="91" s="1"/>
  <c r="AP131" i="91"/>
  <c r="B90" i="6"/>
  <c r="AP72" i="91"/>
  <c r="AQ72" i="91" s="1"/>
  <c r="AS72" i="91"/>
  <c r="AM72" i="91"/>
  <c r="AL72" i="91" s="1"/>
  <c r="C68" i="6"/>
  <c r="AV72" i="91"/>
  <c r="AW72" i="91" s="1"/>
  <c r="B84" i="6"/>
  <c r="AV31" i="91"/>
  <c r="AS31" i="91"/>
  <c r="C16" i="6"/>
  <c r="AP31" i="91"/>
  <c r="AM31" i="91"/>
  <c r="B80" i="6"/>
  <c r="C35" i="6"/>
  <c r="AP61" i="91"/>
  <c r="AQ61" i="91" s="1"/>
  <c r="AV61" i="91"/>
  <c r="AW61" i="91" s="1"/>
  <c r="AM61" i="91"/>
  <c r="AS61" i="91"/>
  <c r="AT61" i="91" s="1"/>
  <c r="AM64" i="91"/>
  <c r="C42" i="6"/>
  <c r="AS64" i="91"/>
  <c r="AV64" i="91"/>
  <c r="AW64" i="91" s="1"/>
  <c r="AP64" i="91"/>
  <c r="AQ64" i="91" s="1"/>
  <c r="B107" i="6"/>
  <c r="B68" i="6"/>
  <c r="B23" i="6"/>
  <c r="B163" i="6"/>
  <c r="AP130" i="91"/>
  <c r="AO130" i="91" s="1"/>
  <c r="C126" i="6"/>
  <c r="AM130" i="91"/>
  <c r="AL130" i="91" s="1"/>
  <c r="AV130" i="91"/>
  <c r="AU130" i="91" s="1"/>
  <c r="AS130" i="91"/>
  <c r="AT130" i="91" s="1"/>
  <c r="B105" i="6"/>
  <c r="AV30" i="91"/>
  <c r="AP30" i="91"/>
  <c r="AQ30" i="91" s="1"/>
  <c r="C21" i="6"/>
  <c r="AS30" i="91"/>
  <c r="AT30" i="91" s="1"/>
  <c r="AM30" i="91"/>
  <c r="B154" i="6"/>
  <c r="B155" i="6"/>
  <c r="AP99" i="91"/>
  <c r="AO99" i="91" s="1"/>
  <c r="AS99" i="91"/>
  <c r="AT99" i="91" s="1"/>
  <c r="C95" i="6"/>
  <c r="AM99" i="91"/>
  <c r="AL99" i="91" s="1"/>
  <c r="AV99" i="91"/>
  <c r="AU99" i="91" s="1"/>
  <c r="C40" i="6"/>
  <c r="AM45" i="91"/>
  <c r="AV45" i="91"/>
  <c r="AW45" i="91" s="1"/>
  <c r="AS45" i="91"/>
  <c r="AT45" i="91" s="1"/>
  <c r="AP45" i="91"/>
  <c r="C30" i="6"/>
  <c r="AS34" i="91"/>
  <c r="AT34" i="91" s="1"/>
  <c r="AV34" i="91"/>
  <c r="AM34" i="91"/>
  <c r="AP34" i="91"/>
  <c r="AV107" i="91"/>
  <c r="AW107" i="91" s="1"/>
  <c r="C103" i="6"/>
  <c r="AS107" i="91"/>
  <c r="AT107" i="91" s="1"/>
  <c r="AP107" i="91"/>
  <c r="AO107" i="91" s="1"/>
  <c r="AM107" i="91"/>
  <c r="AL107" i="91" s="1"/>
  <c r="AM144" i="91"/>
  <c r="AL144" i="91" s="1"/>
  <c r="C140" i="6"/>
  <c r="AP144" i="91"/>
  <c r="AO144" i="91" s="1"/>
  <c r="AV144" i="91"/>
  <c r="AW144" i="91" s="1"/>
  <c r="AS144" i="91"/>
  <c r="AR144" i="91" s="1"/>
  <c r="C129" i="6"/>
  <c r="AP133" i="91"/>
  <c r="AQ133" i="91" s="1"/>
  <c r="AM133" i="91"/>
  <c r="AL133" i="91" s="1"/>
  <c r="AS133" i="91"/>
  <c r="AT133" i="91" s="1"/>
  <c r="AV133" i="91"/>
  <c r="AU133" i="91" s="1"/>
  <c r="B120" i="6"/>
  <c r="B97" i="6"/>
  <c r="B17" i="6"/>
  <c r="B158" i="6"/>
  <c r="AV143" i="91"/>
  <c r="AW143" i="91" s="1"/>
  <c r="C139" i="6"/>
  <c r="AS143" i="91"/>
  <c r="AT143" i="91" s="1"/>
  <c r="AP143" i="91"/>
  <c r="AO143" i="91" s="1"/>
  <c r="AM143" i="91"/>
  <c r="AL143" i="91" s="1"/>
  <c r="B77" i="6"/>
  <c r="AP163" i="91"/>
  <c r="AM163" i="91"/>
  <c r="AL163" i="91" s="1"/>
  <c r="AS163" i="91"/>
  <c r="AR163" i="91" s="1"/>
  <c r="AV163" i="91"/>
  <c r="AU163" i="91" s="1"/>
  <c r="C159" i="6"/>
  <c r="AP86" i="91"/>
  <c r="C82" i="6"/>
  <c r="AV86" i="91"/>
  <c r="AU86" i="91" s="1"/>
  <c r="AS86" i="91"/>
  <c r="AT86" i="91" s="1"/>
  <c r="AM86" i="91"/>
  <c r="AL86" i="91" s="1"/>
  <c r="AP118" i="91"/>
  <c r="AQ118" i="91" s="1"/>
  <c r="AM118" i="91"/>
  <c r="AL118" i="91" s="1"/>
  <c r="AV118" i="91"/>
  <c r="AU118" i="91" s="1"/>
  <c r="C114" i="6"/>
  <c r="AS118" i="91"/>
  <c r="AT118" i="91" s="1"/>
  <c r="C104" i="6"/>
  <c r="AS108" i="91"/>
  <c r="AP108" i="91"/>
  <c r="AQ108" i="91" s="1"/>
  <c r="AM108" i="91"/>
  <c r="AL108" i="91" s="1"/>
  <c r="AV108" i="91"/>
  <c r="AW108" i="91" s="1"/>
  <c r="AV127" i="91"/>
  <c r="AS127" i="91"/>
  <c r="AR127" i="91" s="1"/>
  <c r="AM127" i="91"/>
  <c r="AL127" i="91" s="1"/>
  <c r="C123" i="6"/>
  <c r="AP127" i="91"/>
  <c r="AQ127" i="91" s="1"/>
  <c r="B15" i="6"/>
  <c r="AV29" i="91"/>
  <c r="C44" i="6"/>
  <c r="AM29" i="91"/>
  <c r="AP29" i="91"/>
  <c r="AQ29" i="91" s="1"/>
  <c r="AS29" i="91"/>
  <c r="AT29" i="91" s="1"/>
  <c r="AV100" i="91"/>
  <c r="AU100" i="91" s="1"/>
  <c r="AS100" i="91"/>
  <c r="AR100" i="91" s="1"/>
  <c r="AM100" i="91"/>
  <c r="AL100" i="91" s="1"/>
  <c r="C96" i="6"/>
  <c r="AP100" i="91"/>
  <c r="AO100" i="91" s="1"/>
  <c r="B19" i="6"/>
  <c r="AS82" i="91"/>
  <c r="AR82" i="91" s="1"/>
  <c r="C78" i="6"/>
  <c r="AP82" i="91"/>
  <c r="AQ82" i="91" s="1"/>
  <c r="AM82" i="91"/>
  <c r="AL82" i="91" s="1"/>
  <c r="AV82" i="91"/>
  <c r="AU82" i="91" s="1"/>
  <c r="AP85" i="91"/>
  <c r="AO85" i="91" s="1"/>
  <c r="AV85" i="91"/>
  <c r="AW85" i="91" s="1"/>
  <c r="AM85" i="91"/>
  <c r="AL85" i="91" s="1"/>
  <c r="C81" i="6"/>
  <c r="AS85" i="91"/>
  <c r="AR85" i="91" s="1"/>
  <c r="B52" i="6"/>
  <c r="AV121" i="91"/>
  <c r="AU121" i="91" s="1"/>
  <c r="AS121" i="91"/>
  <c r="AM121" i="91"/>
  <c r="AL121" i="91" s="1"/>
  <c r="AP121" i="91"/>
  <c r="AO121" i="91" s="1"/>
  <c r="C117" i="6"/>
  <c r="AP43" i="91"/>
  <c r="AS43" i="91"/>
  <c r="AT43" i="91" s="1"/>
  <c r="AV43" i="91"/>
  <c r="AW43" i="91" s="1"/>
  <c r="AM43" i="91"/>
  <c r="C56" i="6"/>
  <c r="B78" i="6"/>
  <c r="C154" i="6"/>
  <c r="AS158" i="91"/>
  <c r="AR158" i="91" s="1"/>
  <c r="AM158" i="91"/>
  <c r="AL158" i="91" s="1"/>
  <c r="AP158" i="91"/>
  <c r="AO158" i="91" s="1"/>
  <c r="AV158" i="91"/>
  <c r="AU158" i="91" s="1"/>
  <c r="B25" i="6"/>
  <c r="AM81" i="91"/>
  <c r="AL81" i="91" s="1"/>
  <c r="C77" i="6"/>
  <c r="AS81" i="91"/>
  <c r="AR81" i="91" s="1"/>
  <c r="AP81" i="91"/>
  <c r="AO81" i="91" s="1"/>
  <c r="AV81" i="91"/>
  <c r="AU81" i="91" s="1"/>
  <c r="C133" i="6"/>
  <c r="AP137" i="91"/>
  <c r="AS137" i="91"/>
  <c r="AM137" i="91"/>
  <c r="AL137" i="91" s="1"/>
  <c r="AV137" i="91"/>
  <c r="AU137" i="91" s="1"/>
  <c r="AS155" i="91"/>
  <c r="AT155" i="91" s="1"/>
  <c r="AM155" i="91"/>
  <c r="AL155" i="91" s="1"/>
  <c r="C151" i="6"/>
  <c r="AV155" i="91"/>
  <c r="AP155" i="91"/>
  <c r="B143" i="6"/>
  <c r="B153" i="6"/>
  <c r="B72" i="6"/>
  <c r="B112" i="6"/>
  <c r="C136" i="6"/>
  <c r="AP140" i="91"/>
  <c r="AO140" i="91" s="1"/>
  <c r="AV140" i="91"/>
  <c r="AU140" i="91" s="1"/>
  <c r="AM140" i="91"/>
  <c r="AS140" i="91"/>
  <c r="AT140" i="91" s="1"/>
  <c r="AP167" i="91"/>
  <c r="AQ167" i="91" s="1"/>
  <c r="AS167" i="91"/>
  <c r="AT167" i="91" s="1"/>
  <c r="AV167" i="91"/>
  <c r="C163" i="6"/>
  <c r="AM167" i="91"/>
  <c r="AL167" i="91" s="1"/>
  <c r="B165" i="6"/>
  <c r="B31" i="6"/>
  <c r="AV106" i="91"/>
  <c r="AU106" i="91" s="1"/>
  <c r="C102" i="6"/>
  <c r="AM106" i="91"/>
  <c r="AL106" i="91" s="1"/>
  <c r="AP106" i="91"/>
  <c r="AS106" i="91"/>
  <c r="AR106" i="91" s="1"/>
  <c r="AV74" i="91"/>
  <c r="AU74" i="91" s="1"/>
  <c r="AP74" i="91"/>
  <c r="AO74" i="91" s="1"/>
  <c r="AM74" i="91"/>
  <c r="AL74" i="91" s="1"/>
  <c r="AS74" i="91"/>
  <c r="AR74" i="91" s="1"/>
  <c r="C70" i="6"/>
  <c r="C143" i="6"/>
  <c r="AS147" i="91"/>
  <c r="AT147" i="91" s="1"/>
  <c r="AP147" i="91"/>
  <c r="AO147" i="91" s="1"/>
  <c r="AV147" i="91"/>
  <c r="AU147" i="91" s="1"/>
  <c r="AM147" i="91"/>
  <c r="AL147" i="91" s="1"/>
  <c r="AM145" i="91"/>
  <c r="AL145" i="91" s="1"/>
  <c r="AV145" i="91"/>
  <c r="AU145" i="91" s="1"/>
  <c r="AS145" i="91"/>
  <c r="AP145" i="91"/>
  <c r="AO145" i="91" s="1"/>
  <c r="C141" i="6"/>
  <c r="B140" i="6"/>
  <c r="B29" i="6"/>
  <c r="B102" i="6"/>
  <c r="B160" i="6"/>
  <c r="B129" i="6"/>
  <c r="B53" i="6"/>
  <c r="C43" i="6"/>
  <c r="AS35" i="91"/>
  <c r="AM35" i="91"/>
  <c r="AV35" i="91"/>
  <c r="AP35" i="91"/>
  <c r="AP87" i="91"/>
  <c r="AO87" i="91" s="1"/>
  <c r="AV87" i="91"/>
  <c r="AU87" i="91" s="1"/>
  <c r="C83" i="6"/>
  <c r="AS87" i="91"/>
  <c r="AR87" i="91" s="1"/>
  <c r="AM87" i="91"/>
  <c r="AL87" i="91" s="1"/>
  <c r="B137" i="6"/>
  <c r="B44" i="6"/>
  <c r="AM38" i="91"/>
  <c r="AP38" i="91"/>
  <c r="AQ38" i="91" s="1"/>
  <c r="AS38" i="91"/>
  <c r="AT38" i="91" s="1"/>
  <c r="AV38" i="91"/>
  <c r="AW38" i="91" s="1"/>
  <c r="C20" i="6"/>
  <c r="B69" i="6"/>
  <c r="B106" i="6"/>
  <c r="AM77" i="91"/>
  <c r="AL77" i="91" s="1"/>
  <c r="AS77" i="91"/>
  <c r="AR77" i="91" s="1"/>
  <c r="AV77" i="91"/>
  <c r="AU77" i="91" s="1"/>
  <c r="AP77" i="91"/>
  <c r="AO77" i="91" s="1"/>
  <c r="C73" i="6"/>
  <c r="B16" i="6"/>
  <c r="B58" i="6"/>
  <c r="B108" i="6"/>
  <c r="AS78" i="91"/>
  <c r="AR78" i="91" s="1"/>
  <c r="C74" i="6"/>
  <c r="AP78" i="91"/>
  <c r="AO78" i="91" s="1"/>
  <c r="AV78" i="91"/>
  <c r="AU78" i="91" s="1"/>
  <c r="AM78" i="91"/>
  <c r="AL78" i="91" s="1"/>
  <c r="AP165" i="91"/>
  <c r="AO165" i="91" s="1"/>
  <c r="AS165" i="91"/>
  <c r="AR165" i="91" s="1"/>
  <c r="C161" i="6"/>
  <c r="AM165" i="91"/>
  <c r="AV165" i="91"/>
  <c r="AW165" i="91" s="1"/>
  <c r="AP159" i="91"/>
  <c r="AO159" i="91" s="1"/>
  <c r="AM159" i="91"/>
  <c r="AL159" i="91" s="1"/>
  <c r="AV159" i="91"/>
  <c r="AU159" i="91" s="1"/>
  <c r="C155" i="6"/>
  <c r="AS159" i="91"/>
  <c r="AR159" i="91" s="1"/>
  <c r="B145" i="6"/>
  <c r="C45" i="6"/>
  <c r="AV36" i="91"/>
  <c r="AW36" i="91" s="1"/>
  <c r="AS36" i="91"/>
  <c r="AT36" i="91" s="1"/>
  <c r="AM36" i="91"/>
  <c r="AP36" i="91"/>
  <c r="AQ36" i="91" s="1"/>
  <c r="C116" i="6"/>
  <c r="AV120" i="91"/>
  <c r="AW120" i="91" s="1"/>
  <c r="AP120" i="91"/>
  <c r="AQ120" i="91" s="1"/>
  <c r="AS120" i="91"/>
  <c r="AR120" i="91" s="1"/>
  <c r="AM120" i="91"/>
  <c r="AL120" i="91" s="1"/>
  <c r="C69" i="6"/>
  <c r="AV73" i="91"/>
  <c r="AW73" i="91" s="1"/>
  <c r="AP73" i="91"/>
  <c r="AQ73" i="91" s="1"/>
  <c r="AS73" i="91"/>
  <c r="AT73" i="91" s="1"/>
  <c r="AM73" i="91"/>
  <c r="AL73" i="91" s="1"/>
  <c r="B79" i="6"/>
  <c r="AM110" i="91"/>
  <c r="AL110" i="91" s="1"/>
  <c r="AS110" i="91"/>
  <c r="AR110" i="91" s="1"/>
  <c r="AV110" i="91"/>
  <c r="AU110" i="91" s="1"/>
  <c r="C106" i="6"/>
  <c r="AP110" i="91"/>
  <c r="AO110" i="91" s="1"/>
  <c r="C132" i="6"/>
  <c r="AP136" i="91"/>
  <c r="AV136" i="91"/>
  <c r="AW136" i="91" s="1"/>
  <c r="AM136" i="91"/>
  <c r="AL136" i="91" s="1"/>
  <c r="AS136" i="91"/>
  <c r="AR136" i="91" s="1"/>
  <c r="AV124" i="91"/>
  <c r="AW124" i="91" s="1"/>
  <c r="AM124" i="91"/>
  <c r="AL124" i="91" s="1"/>
  <c r="AS124" i="91"/>
  <c r="AT124" i="91" s="1"/>
  <c r="AP124" i="91"/>
  <c r="AQ124" i="91" s="1"/>
  <c r="C120" i="6"/>
  <c r="B161" i="6"/>
  <c r="AS114" i="91"/>
  <c r="AR114" i="91" s="1"/>
  <c r="AV114" i="91"/>
  <c r="AU114" i="91" s="1"/>
  <c r="C110" i="6"/>
  <c r="AM114" i="91"/>
  <c r="AL114" i="91" s="1"/>
  <c r="AP114" i="91"/>
  <c r="AO114" i="91" s="1"/>
  <c r="AP126" i="91"/>
  <c r="AO126" i="91" s="1"/>
  <c r="AV126" i="91"/>
  <c r="AU126" i="91" s="1"/>
  <c r="C122" i="6"/>
  <c r="AS126" i="91"/>
  <c r="AR126" i="91" s="1"/>
  <c r="AM126" i="91"/>
  <c r="AL126" i="91" s="1"/>
  <c r="C36" i="6"/>
  <c r="AV49" i="91"/>
  <c r="AW49" i="91" s="1"/>
  <c r="AP49" i="91"/>
  <c r="AQ49" i="91" s="1"/>
  <c r="B99" i="6"/>
  <c r="C156" i="6"/>
  <c r="AP160" i="91"/>
  <c r="AO160" i="91" s="1"/>
  <c r="AV160" i="91"/>
  <c r="AU160" i="91" s="1"/>
  <c r="AS160" i="91"/>
  <c r="AR160" i="91" s="1"/>
  <c r="AM160" i="91"/>
  <c r="AL160" i="91" s="1"/>
  <c r="AM70" i="91"/>
  <c r="AL70" i="91" s="1"/>
  <c r="AP70" i="91"/>
  <c r="AQ70" i="91" s="1"/>
  <c r="C66" i="6"/>
  <c r="AV70" i="91"/>
  <c r="AW70" i="91" s="1"/>
  <c r="AS70" i="91"/>
  <c r="AR70" i="91" s="1"/>
  <c r="B110" i="6"/>
  <c r="B74" i="6"/>
  <c r="B26" i="6"/>
  <c r="AV104" i="91"/>
  <c r="AU104" i="91" s="1"/>
  <c r="AS104" i="91"/>
  <c r="AT104" i="91" s="1"/>
  <c r="AP104" i="91"/>
  <c r="AQ104" i="91" s="1"/>
  <c r="C100" i="6"/>
  <c r="AM104" i="91"/>
  <c r="AL104" i="91" s="1"/>
  <c r="AS122" i="91"/>
  <c r="AR122" i="91" s="1"/>
  <c r="AM122" i="91"/>
  <c r="AL122" i="91" s="1"/>
  <c r="C118" i="6"/>
  <c r="AV122" i="91"/>
  <c r="AW122" i="91" s="1"/>
  <c r="AP122" i="91"/>
  <c r="AQ122" i="91" s="1"/>
  <c r="B34" i="6"/>
  <c r="AV105" i="91"/>
  <c r="AU105" i="91" s="1"/>
  <c r="AS105" i="91"/>
  <c r="AR105" i="91" s="1"/>
  <c r="AM105" i="91"/>
  <c r="AL105" i="91" s="1"/>
  <c r="C101" i="6"/>
  <c r="AP105" i="91"/>
  <c r="AO105" i="91" s="1"/>
  <c r="AP71" i="91"/>
  <c r="AO71" i="91" s="1"/>
  <c r="AM71" i="91"/>
  <c r="C67" i="6"/>
  <c r="AS71" i="91"/>
  <c r="AR71" i="91" s="1"/>
  <c r="AV71" i="91"/>
  <c r="AU71" i="91" s="1"/>
  <c r="B115" i="6"/>
  <c r="B33" i="6"/>
  <c r="AV39" i="91"/>
  <c r="AW39" i="91" s="1"/>
  <c r="C15" i="6"/>
  <c r="AP39" i="91"/>
  <c r="AQ39" i="91" s="1"/>
  <c r="AM39" i="91"/>
  <c r="AS39" i="91"/>
  <c r="B75" i="6"/>
  <c r="B109" i="6"/>
  <c r="B32" i="6"/>
  <c r="AP93" i="91"/>
  <c r="AO93" i="91" s="1"/>
  <c r="AV93" i="91"/>
  <c r="AW93" i="91" s="1"/>
  <c r="AM93" i="91"/>
  <c r="AL93" i="91" s="1"/>
  <c r="AS93" i="91"/>
  <c r="AR93" i="91" s="1"/>
  <c r="C89" i="6"/>
  <c r="AV42" i="91"/>
  <c r="AW42" i="91" s="1"/>
  <c r="C52" i="6"/>
  <c r="AM42" i="91"/>
  <c r="AS42" i="91"/>
  <c r="AT42" i="91" s="1"/>
  <c r="AP42" i="91"/>
  <c r="AQ42" i="91" s="1"/>
  <c r="B67" i="6"/>
  <c r="B47" i="6"/>
  <c r="B70" i="6"/>
  <c r="B138" i="6"/>
  <c r="B116" i="6"/>
  <c r="AS66" i="91"/>
  <c r="AP66" i="91"/>
  <c r="AQ66" i="91" s="1"/>
  <c r="AM66" i="91"/>
  <c r="AL66" i="91" s="1"/>
  <c r="C53" i="6"/>
  <c r="AV66" i="91"/>
  <c r="AW66" i="91" s="1"/>
  <c r="B30" i="6"/>
  <c r="AP146" i="91"/>
  <c r="AO146" i="91" s="1"/>
  <c r="AM146" i="91"/>
  <c r="AL146" i="91" s="1"/>
  <c r="C142" i="6"/>
  <c r="AS146" i="91"/>
  <c r="AR146" i="91" s="1"/>
  <c r="AV146" i="91"/>
  <c r="AU146" i="91" s="1"/>
  <c r="AS75" i="91"/>
  <c r="AR75" i="91" s="1"/>
  <c r="C71" i="6"/>
  <c r="AM75" i="91"/>
  <c r="AL75" i="91" s="1"/>
  <c r="AP75" i="91"/>
  <c r="AQ75" i="91" s="1"/>
  <c r="AV75" i="91"/>
  <c r="AU75" i="91" s="1"/>
  <c r="B144" i="6"/>
  <c r="B146" i="6"/>
  <c r="B123" i="6"/>
  <c r="AP141" i="91"/>
  <c r="AO141" i="91" s="1"/>
  <c r="AV141" i="91"/>
  <c r="AU141" i="91" s="1"/>
  <c r="AM141" i="91"/>
  <c r="AL141" i="91" s="1"/>
  <c r="AS141" i="91"/>
  <c r="AR141" i="91" s="1"/>
  <c r="C137" i="6"/>
  <c r="AV46" i="91"/>
  <c r="AW46" i="91" s="1"/>
  <c r="AP46" i="91"/>
  <c r="AQ46" i="91" s="1"/>
  <c r="C59" i="6"/>
  <c r="AM46" i="91"/>
  <c r="AS46" i="91"/>
  <c r="AT46" i="91" s="1"/>
  <c r="C26" i="6"/>
  <c r="B93" i="6"/>
  <c r="AM168" i="91"/>
  <c r="AP168" i="91"/>
  <c r="AO168" i="91" s="1"/>
  <c r="AV168" i="91"/>
  <c r="AW168" i="91" s="1"/>
  <c r="AS168" i="91"/>
  <c r="AR168" i="91" s="1"/>
  <c r="C164" i="6"/>
  <c r="B82" i="6"/>
  <c r="AM84" i="91"/>
  <c r="AL84" i="91" s="1"/>
  <c r="AP84" i="91"/>
  <c r="AO84" i="91" s="1"/>
  <c r="AV84" i="91"/>
  <c r="AW84" i="91" s="1"/>
  <c r="C80" i="6"/>
  <c r="AS84" i="91"/>
  <c r="AT84" i="91" s="1"/>
  <c r="AM169" i="91"/>
  <c r="AL169" i="91" s="1"/>
  <c r="C165" i="6"/>
  <c r="AV169" i="91"/>
  <c r="AW169" i="91" s="1"/>
  <c r="AS169" i="91"/>
  <c r="AT169" i="91" s="1"/>
  <c r="AP169" i="91"/>
  <c r="AO169" i="91" s="1"/>
  <c r="B142" i="6"/>
  <c r="B43" i="6"/>
  <c r="E19" i="6"/>
  <c r="AM23" i="91" l="1"/>
  <c r="AN46" i="91"/>
  <c r="AN69" i="91"/>
  <c r="AL69" i="91"/>
  <c r="AN156" i="91"/>
  <c r="AL156" i="91"/>
  <c r="AN140" i="91"/>
  <c r="AL140" i="91"/>
  <c r="AN48" i="91"/>
  <c r="AN168" i="91"/>
  <c r="AL168" i="91"/>
  <c r="AN71" i="91"/>
  <c r="AL71" i="91"/>
  <c r="AN165" i="91"/>
  <c r="AL165" i="91"/>
  <c r="AN31" i="91"/>
  <c r="AN45" i="91"/>
  <c r="AM51" i="91"/>
  <c r="AM49" i="91"/>
  <c r="AS49" i="91"/>
  <c r="AT49" i="91" s="1"/>
  <c r="AS24" i="91"/>
  <c r="AT24" i="91" s="1"/>
  <c r="AN27" i="91"/>
  <c r="AN24" i="91"/>
  <c r="AT142" i="91"/>
  <c r="AQ76" i="91"/>
  <c r="AN142" i="91"/>
  <c r="AW76" i="91"/>
  <c r="AQ91" i="91"/>
  <c r="AO134" i="91"/>
  <c r="AW135" i="91"/>
  <c r="AN112" i="91"/>
  <c r="AT68" i="91"/>
  <c r="AT95" i="91"/>
  <c r="AQ125" i="91"/>
  <c r="B14" i="6"/>
  <c r="AN158" i="91"/>
  <c r="AT134" i="91"/>
  <c r="AO88" i="91"/>
  <c r="AT129" i="91"/>
  <c r="AN98" i="91"/>
  <c r="AO90" i="91"/>
  <c r="AQ157" i="91"/>
  <c r="AR90" i="91"/>
  <c r="AT92" i="91"/>
  <c r="AN138" i="91"/>
  <c r="AR91" i="91"/>
  <c r="AR76" i="91"/>
  <c r="AW113" i="91"/>
  <c r="AN161" i="91"/>
  <c r="AT156" i="91"/>
  <c r="AN56" i="91"/>
  <c r="AR119" i="91"/>
  <c r="AO112" i="91"/>
  <c r="AR125" i="91"/>
  <c r="AU89" i="91"/>
  <c r="AU96" i="91"/>
  <c r="AQ117" i="91"/>
  <c r="AN63" i="91"/>
  <c r="AN125" i="91"/>
  <c r="AO129" i="91"/>
  <c r="AQ164" i="91"/>
  <c r="AR139" i="91"/>
  <c r="AQ92" i="91"/>
  <c r="AQ89" i="91"/>
  <c r="AN57" i="91"/>
  <c r="AW99" i="91"/>
  <c r="AN95" i="91"/>
  <c r="AO127" i="91"/>
  <c r="AN154" i="91"/>
  <c r="AW119" i="91"/>
  <c r="AN36" i="91"/>
  <c r="AN82" i="91"/>
  <c r="AU129" i="91"/>
  <c r="AU123" i="91"/>
  <c r="AN152" i="91"/>
  <c r="AN153" i="91"/>
  <c r="AN129" i="91"/>
  <c r="AN90" i="91"/>
  <c r="AW25" i="91"/>
  <c r="AO166" i="91"/>
  <c r="AT93" i="91"/>
  <c r="AQ69" i="91"/>
  <c r="AW152" i="91"/>
  <c r="AR161" i="91"/>
  <c r="AN102" i="91"/>
  <c r="AT82" i="91"/>
  <c r="AQ121" i="91"/>
  <c r="AN164" i="91"/>
  <c r="AR152" i="91"/>
  <c r="AN67" i="91"/>
  <c r="AW128" i="91"/>
  <c r="AN128" i="91"/>
  <c r="AN107" i="91"/>
  <c r="AN25" i="91"/>
  <c r="AU112" i="91"/>
  <c r="AR124" i="91"/>
  <c r="AO123" i="91"/>
  <c r="AO82" i="91"/>
  <c r="AN145" i="91"/>
  <c r="AW158" i="91"/>
  <c r="AU94" i="91"/>
  <c r="AW91" i="91"/>
  <c r="AW102" i="91"/>
  <c r="AW106" i="91"/>
  <c r="AT158" i="91"/>
  <c r="AT122" i="91"/>
  <c r="AQ93" i="91"/>
  <c r="AN160" i="91"/>
  <c r="AN30" i="91"/>
  <c r="AR140" i="91"/>
  <c r="AN122" i="91"/>
  <c r="AN81" i="91"/>
  <c r="AN44" i="91"/>
  <c r="AR96" i="91"/>
  <c r="AN111" i="91"/>
  <c r="AQ105" i="91"/>
  <c r="AN38" i="91"/>
  <c r="AR133" i="91"/>
  <c r="AT160" i="91"/>
  <c r="AN60" i="91"/>
  <c r="AN106" i="91"/>
  <c r="AN134" i="91"/>
  <c r="AN162" i="91"/>
  <c r="AU103" i="91"/>
  <c r="AQ107" i="91"/>
  <c r="AN147" i="91"/>
  <c r="AW28" i="91"/>
  <c r="AR128" i="91"/>
  <c r="AW71" i="91"/>
  <c r="AR107" i="91"/>
  <c r="AT106" i="91"/>
  <c r="AQ141" i="91"/>
  <c r="AQ146" i="91"/>
  <c r="AT71" i="91"/>
  <c r="AN61" i="91"/>
  <c r="AW141" i="91"/>
  <c r="AN104" i="91"/>
  <c r="AR155" i="91"/>
  <c r="AW82" i="91"/>
  <c r="AQ71" i="91"/>
  <c r="AW159" i="91"/>
  <c r="AN146" i="91"/>
  <c r="AW145" i="91"/>
  <c r="AR143" i="91"/>
  <c r="AT79" i="91"/>
  <c r="AN62" i="91"/>
  <c r="AT114" i="91"/>
  <c r="AO142" i="91"/>
  <c r="AT120" i="91"/>
  <c r="AN22" i="91"/>
  <c r="AW142" i="91"/>
  <c r="AT141" i="91"/>
  <c r="AO128" i="91"/>
  <c r="AN35" i="91"/>
  <c r="AN92" i="91"/>
  <c r="AN159" i="91"/>
  <c r="AT39" i="91"/>
  <c r="AN139" i="91"/>
  <c r="AN85" i="91"/>
  <c r="AN141" i="91"/>
  <c r="AN89" i="91"/>
  <c r="AW133" i="91"/>
  <c r="AN103" i="91"/>
  <c r="AQ43" i="91"/>
  <c r="AN52" i="91"/>
  <c r="AW74" i="91"/>
  <c r="AT146" i="91"/>
  <c r="AN29" i="91"/>
  <c r="AN20" i="91"/>
  <c r="AU101" i="91"/>
  <c r="AT55" i="91"/>
  <c r="AT78" i="91"/>
  <c r="AW153" i="91"/>
  <c r="AN43" i="91"/>
  <c r="AN169" i="91"/>
  <c r="AN108" i="91"/>
  <c r="AQ159" i="91"/>
  <c r="AN53" i="91"/>
  <c r="AQ58" i="91"/>
  <c r="AU120" i="91"/>
  <c r="AT94" i="91"/>
  <c r="AW100" i="91"/>
  <c r="AU122" i="91"/>
  <c r="AO139" i="91"/>
  <c r="AW115" i="91"/>
  <c r="AR169" i="91"/>
  <c r="AU72" i="91"/>
  <c r="AN132" i="91"/>
  <c r="AO167" i="91"/>
  <c r="AQ147" i="91"/>
  <c r="AO83" i="91"/>
  <c r="AW30" i="91"/>
  <c r="AN84" i="91"/>
  <c r="AU168" i="91"/>
  <c r="AW31" i="91"/>
  <c r="AO151" i="91"/>
  <c r="AN137" i="91"/>
  <c r="AN123" i="91"/>
  <c r="AO122" i="91"/>
  <c r="AW148" i="91"/>
  <c r="AR130" i="91"/>
  <c r="AQ85" i="91"/>
  <c r="AO97" i="91"/>
  <c r="AN55" i="91"/>
  <c r="AQ149" i="91"/>
  <c r="AN144" i="91"/>
  <c r="AT81" i="91"/>
  <c r="AT144" i="91"/>
  <c r="AW139" i="91"/>
  <c r="AT126" i="91"/>
  <c r="AW52" i="91"/>
  <c r="AN163" i="91"/>
  <c r="AQ140" i="91"/>
  <c r="AR109" i="91"/>
  <c r="AW131" i="91"/>
  <c r="AN155" i="91"/>
  <c r="AQ99" i="91"/>
  <c r="AR101" i="91"/>
  <c r="AQ77" i="91"/>
  <c r="AO108" i="91"/>
  <c r="AT151" i="91"/>
  <c r="AR132" i="91"/>
  <c r="AW118" i="91"/>
  <c r="AW86" i="91"/>
  <c r="AQ87" i="91"/>
  <c r="AQ132" i="91"/>
  <c r="AN74" i="91"/>
  <c r="AW162" i="91"/>
  <c r="AR150" i="91"/>
  <c r="AU73" i="91"/>
  <c r="AW163" i="91"/>
  <c r="AU136" i="91"/>
  <c r="AN114" i="91"/>
  <c r="AR86" i="91"/>
  <c r="AQ143" i="91"/>
  <c r="AQ144" i="91"/>
  <c r="AQ116" i="91"/>
  <c r="AR167" i="91"/>
  <c r="AQ84" i="91"/>
  <c r="AN148" i="91"/>
  <c r="AR153" i="91"/>
  <c r="AO124" i="91"/>
  <c r="AN42" i="91"/>
  <c r="AW110" i="91"/>
  <c r="AQ102" i="91"/>
  <c r="AN65" i="91"/>
  <c r="AT159" i="91"/>
  <c r="AU144" i="91"/>
  <c r="AQ156" i="91"/>
  <c r="AR88" i="91"/>
  <c r="AW53" i="91"/>
  <c r="AW105" i="91"/>
  <c r="AO133" i="91"/>
  <c r="AW146" i="91"/>
  <c r="AW132" i="91"/>
  <c r="AU84" i="91"/>
  <c r="AU107" i="91"/>
  <c r="AW111" i="91"/>
  <c r="AO138" i="91"/>
  <c r="AN64" i="91"/>
  <c r="AU85" i="91"/>
  <c r="AN115" i="91"/>
  <c r="AT65" i="91"/>
  <c r="AR147" i="91"/>
  <c r="AO137" i="91"/>
  <c r="AQ137" i="91"/>
  <c r="AT64" i="91"/>
  <c r="AT31" i="91"/>
  <c r="AR131" i="91"/>
  <c r="AT131" i="91"/>
  <c r="AQ100" i="91"/>
  <c r="AR69" i="91"/>
  <c r="AT113" i="91"/>
  <c r="AN105" i="91"/>
  <c r="AN54" i="91"/>
  <c r="AW160" i="91"/>
  <c r="AO96" i="91"/>
  <c r="AT165" i="91"/>
  <c r="AT85" i="91"/>
  <c r="AN87" i="91"/>
  <c r="AT136" i="91"/>
  <c r="AW109" i="91"/>
  <c r="AT40" i="91"/>
  <c r="AT87" i="91"/>
  <c r="AN127" i="91"/>
  <c r="AO119" i="91"/>
  <c r="AT149" i="91"/>
  <c r="AR149" i="91"/>
  <c r="AW83" i="91"/>
  <c r="AU83" i="91"/>
  <c r="AW23" i="91"/>
  <c r="AQ37" i="91"/>
  <c r="AQ26" i="91"/>
  <c r="AR97" i="91"/>
  <c r="AN99" i="91"/>
  <c r="AN66" i="91"/>
  <c r="AW161" i="91"/>
  <c r="AN68" i="91"/>
  <c r="AW54" i="91"/>
  <c r="AR73" i="91"/>
  <c r="AT47" i="91"/>
  <c r="AO113" i="91"/>
  <c r="AW127" i="91"/>
  <c r="AU127" i="91"/>
  <c r="AW40" i="91"/>
  <c r="AR117" i="91"/>
  <c r="AT117" i="91"/>
  <c r="AW26" i="91"/>
  <c r="AN116" i="91"/>
  <c r="AN75" i="91"/>
  <c r="AN78" i="91"/>
  <c r="AN32" i="91"/>
  <c r="AN70" i="91"/>
  <c r="AN167" i="91"/>
  <c r="AQ168" i="91"/>
  <c r="AW140" i="91"/>
  <c r="AT127" i="91"/>
  <c r="AN34" i="91"/>
  <c r="AU156" i="91"/>
  <c r="AO136" i="91"/>
  <c r="AQ136" i="91"/>
  <c r="AW167" i="91"/>
  <c r="AU167" i="91"/>
  <c r="AO155" i="91"/>
  <c r="AQ155" i="91"/>
  <c r="AR123" i="91"/>
  <c r="AT123" i="91"/>
  <c r="AN50" i="91"/>
  <c r="AQ48" i="91"/>
  <c r="AR83" i="91"/>
  <c r="AT83" i="91"/>
  <c r="AN26" i="91"/>
  <c r="AN150" i="91"/>
  <c r="AQ78" i="91"/>
  <c r="AW95" i="91"/>
  <c r="AQ152" i="91"/>
  <c r="AN151" i="91"/>
  <c r="AN100" i="91"/>
  <c r="AN86" i="91"/>
  <c r="AN113" i="91"/>
  <c r="AT98" i="91"/>
  <c r="AQ114" i="91"/>
  <c r="AO98" i="91"/>
  <c r="AQ126" i="91"/>
  <c r="AQ95" i="91"/>
  <c r="AQ34" i="91"/>
  <c r="AW27" i="91"/>
  <c r="AU155" i="91"/>
  <c r="AW155" i="91"/>
  <c r="AN72" i="91"/>
  <c r="AN33" i="91"/>
  <c r="AN149" i="91"/>
  <c r="AU150" i="91"/>
  <c r="AW150" i="91"/>
  <c r="AU79" i="91"/>
  <c r="AW79" i="91"/>
  <c r="AR157" i="91"/>
  <c r="AT157" i="91"/>
  <c r="AN126" i="91"/>
  <c r="AN39" i="91"/>
  <c r="AN21" i="91"/>
  <c r="AW130" i="91"/>
  <c r="AN91" i="91"/>
  <c r="AN59" i="91"/>
  <c r="AQ103" i="91"/>
  <c r="AT115" i="91"/>
  <c r="AU157" i="91"/>
  <c r="AN93" i="91"/>
  <c r="AW32" i="91"/>
  <c r="AN133" i="91"/>
  <c r="AQ59" i="91"/>
  <c r="AT163" i="91"/>
  <c r="AW34" i="91"/>
  <c r="AU143" i="91"/>
  <c r="AW81" i="91"/>
  <c r="AW126" i="91"/>
  <c r="AT112" i="91"/>
  <c r="AW77" i="91"/>
  <c r="AQ145" i="91"/>
  <c r="AQ153" i="91"/>
  <c r="AN83" i="91"/>
  <c r="AN94" i="91"/>
  <c r="AO101" i="91"/>
  <c r="AW35" i="91"/>
  <c r="AR145" i="91"/>
  <c r="AT145" i="91"/>
  <c r="AQ86" i="91"/>
  <c r="AO86" i="91"/>
  <c r="AQ45" i="91"/>
  <c r="AR72" i="91"/>
  <c r="AT72" i="91"/>
  <c r="AR164" i="91"/>
  <c r="AT164" i="91"/>
  <c r="AQ154" i="91"/>
  <c r="AO154" i="91"/>
  <c r="AR135" i="91"/>
  <c r="AT135" i="91"/>
  <c r="AN79" i="91"/>
  <c r="AT111" i="91"/>
  <c r="AR111" i="91"/>
  <c r="AQ110" i="91"/>
  <c r="AT154" i="91"/>
  <c r="AN76" i="91"/>
  <c r="AR99" i="91"/>
  <c r="AR166" i="91"/>
  <c r="AT63" i="91"/>
  <c r="AQ35" i="91"/>
  <c r="AW78" i="91"/>
  <c r="AO94" i="91"/>
  <c r="AT77" i="91"/>
  <c r="AR84" i="91"/>
  <c r="AQ81" i="91"/>
  <c r="AW97" i="91"/>
  <c r="AQ80" i="91"/>
  <c r="AO73" i="91"/>
  <c r="AN47" i="91"/>
  <c r="AW147" i="91"/>
  <c r="AQ158" i="91"/>
  <c r="AN40" i="91"/>
  <c r="AN157" i="91"/>
  <c r="AO115" i="91"/>
  <c r="AT102" i="91"/>
  <c r="AR138" i="91"/>
  <c r="AU93" i="91"/>
  <c r="AN120" i="91"/>
  <c r="AW121" i="91"/>
  <c r="AU165" i="91"/>
  <c r="AW125" i="91"/>
  <c r="AO148" i="91"/>
  <c r="AW114" i="91"/>
  <c r="AU124" i="91"/>
  <c r="AT108" i="91"/>
  <c r="AR108" i="91"/>
  <c r="AW164" i="91"/>
  <c r="AU164" i="91"/>
  <c r="AU154" i="91"/>
  <c r="AW154" i="91"/>
  <c r="AQ135" i="91"/>
  <c r="AO135" i="91"/>
  <c r="AN80" i="91"/>
  <c r="AO111" i="91"/>
  <c r="AQ111" i="91"/>
  <c r="AN131" i="91"/>
  <c r="AN97" i="91"/>
  <c r="AW104" i="91"/>
  <c r="AQ160" i="91"/>
  <c r="AN143" i="91"/>
  <c r="AO120" i="91"/>
  <c r="AN41" i="91"/>
  <c r="AN73" i="91"/>
  <c r="AN166" i="91"/>
  <c r="AU90" i="91"/>
  <c r="AT66" i="91"/>
  <c r="AR162" i="91"/>
  <c r="AO118" i="91"/>
  <c r="AU116" i="91"/>
  <c r="AN117" i="91"/>
  <c r="AT70" i="91"/>
  <c r="AW57" i="91"/>
  <c r="AN77" i="91"/>
  <c r="AT148" i="91"/>
  <c r="AR89" i="91"/>
  <c r="AT74" i="91"/>
  <c r="AW87" i="91"/>
  <c r="AU151" i="91"/>
  <c r="AU149" i="91"/>
  <c r="AR118" i="91"/>
  <c r="AO79" i="91"/>
  <c r="AR80" i="91"/>
  <c r="AO104" i="91"/>
  <c r="AR116" i="91"/>
  <c r="AT35" i="91"/>
  <c r="AO106" i="91"/>
  <c r="AQ106" i="91"/>
  <c r="AW58" i="91"/>
  <c r="AU80" i="91"/>
  <c r="AW80" i="91"/>
  <c r="AQ24" i="91"/>
  <c r="AT56" i="91"/>
  <c r="AN37" i="91"/>
  <c r="AT75" i="91"/>
  <c r="AO161" i="91"/>
  <c r="AO75" i="91"/>
  <c r="AW75" i="91"/>
  <c r="AQ74" i="91"/>
  <c r="AW29" i="91"/>
  <c r="AQ165" i="91"/>
  <c r="AQ130" i="91"/>
  <c r="AW166" i="91"/>
  <c r="AQ65" i="91"/>
  <c r="AW138" i="91"/>
  <c r="AT168" i="91"/>
  <c r="AN88" i="91"/>
  <c r="AU98" i="91"/>
  <c r="AR103" i="91"/>
  <c r="AT110" i="91"/>
  <c r="AQ40" i="91"/>
  <c r="AN135" i="91"/>
  <c r="AO162" i="91"/>
  <c r="AN110" i="91"/>
  <c r="AT121" i="91"/>
  <c r="AR121" i="91"/>
  <c r="AQ31" i="91"/>
  <c r="AN109" i="91"/>
  <c r="AW134" i="91"/>
  <c r="AU134" i="91"/>
  <c r="AN118" i="91"/>
  <c r="AN23" i="91"/>
  <c r="AQ169" i="91"/>
  <c r="AU117" i="91"/>
  <c r="AN119" i="91"/>
  <c r="AO131" i="91"/>
  <c r="AQ131" i="91"/>
  <c r="AQ109" i="91"/>
  <c r="AO109" i="91"/>
  <c r="AW62" i="91"/>
  <c r="AU169" i="91"/>
  <c r="AN96" i="91"/>
  <c r="AW55" i="91"/>
  <c r="AT105" i="91"/>
  <c r="AR104" i="91"/>
  <c r="AN130" i="91"/>
  <c r="AT100" i="91"/>
  <c r="AN136" i="91"/>
  <c r="AQ150" i="91"/>
  <c r="AU108" i="91"/>
  <c r="AN58" i="91"/>
  <c r="AT27" i="91"/>
  <c r="AQ32" i="91"/>
  <c r="AN121" i="91"/>
  <c r="AN101" i="91"/>
  <c r="AW137" i="91"/>
  <c r="AN124" i="91"/>
  <c r="AR137" i="91"/>
  <c r="AT137" i="91"/>
  <c r="AQ163" i="91"/>
  <c r="AO163" i="91"/>
  <c r="AW88" i="91"/>
  <c r="AU88" i="91"/>
  <c r="AN28" i="91"/>
  <c r="AW92" i="91"/>
  <c r="AU92" i="91"/>
  <c r="AW24" i="91"/>
  <c r="AN49" i="91" l="1"/>
  <c r="AN51" i="91"/>
  <c r="C14" i="6"/>
  <c r="AU21" i="91" l="1"/>
  <c r="AU23" i="91" l="1"/>
  <c r="AU25" i="91" l="1"/>
  <c r="AU26" i="91" l="1"/>
  <c r="AO63" i="91"/>
  <c r="AU27" i="91" l="1"/>
  <c r="AU28" i="91" l="1"/>
  <c r="AO41" i="91" l="1"/>
  <c r="AU29" i="91"/>
  <c r="AO42" i="91" l="1"/>
  <c r="AU30" i="91"/>
  <c r="AO45" i="91" l="1"/>
  <c r="AU36" i="91" l="1"/>
  <c r="AO48" i="91" l="1"/>
  <c r="AO51" i="91" l="1"/>
  <c r="AU39" i="91"/>
  <c r="AO55" i="91" l="1"/>
  <c r="AU42" i="91" l="1"/>
  <c r="AU43" i="91" s="1"/>
  <c r="AU44" i="91" s="1"/>
  <c r="AU45" i="91" s="1"/>
  <c r="AU46" i="91" s="1"/>
  <c r="AO67" i="91" l="1"/>
  <c r="AU53" i="91"/>
  <c r="AO68" i="91" l="1"/>
  <c r="AU54" i="91"/>
  <c r="AO70" i="91" l="1"/>
  <c r="AO72" i="91" l="1"/>
  <c r="AV18" i="91" l="1"/>
  <c r="AP18" i="91"/>
  <c r="AM18" i="91"/>
  <c r="AS18" i="91"/>
  <c r="C57" i="6" l="1"/>
  <c r="AP19" i="91"/>
  <c r="AS19" i="91"/>
  <c r="AV19" i="91"/>
  <c r="C34" i="6"/>
  <c r="AM19" i="91"/>
  <c r="AT18" i="91"/>
  <c r="AR18" i="91"/>
  <c r="AN18" i="91"/>
  <c r="AL18" i="91"/>
  <c r="AQ18" i="91"/>
  <c r="AO18" i="91"/>
  <c r="AW18" i="91"/>
  <c r="AU18" i="91"/>
  <c r="AL19" i="91" l="1"/>
  <c r="AN19" i="91"/>
  <c r="AU19" i="91"/>
  <c r="AW19" i="91"/>
  <c r="AT19" i="91"/>
  <c r="AR19" i="91"/>
  <c r="AQ19" i="91"/>
  <c r="AO19" i="91"/>
  <c r="AO20" i="91" s="1"/>
  <c r="AL20" i="91" l="1"/>
  <c r="AR20" i="91"/>
  <c r="AO21" i="91"/>
  <c r="AO22" i="91" s="1"/>
  <c r="AU20" i="91"/>
  <c r="AL21" i="91" l="1"/>
  <c r="AR21" i="91"/>
  <c r="AO23" i="91"/>
  <c r="AU22" i="91"/>
  <c r="AL22" i="91" l="1"/>
  <c r="C24" i="91" s="1"/>
  <c r="AO24" i="91"/>
  <c r="AR22" i="91"/>
  <c r="AR23" i="91" s="1"/>
  <c r="AR25" i="91"/>
  <c r="AU24" i="91"/>
  <c r="AL23" i="91" l="1"/>
  <c r="AL24" i="91" s="1"/>
  <c r="AL25" i="91" s="1"/>
  <c r="B24" i="91"/>
  <c r="AO25" i="91"/>
  <c r="AO26" i="91" s="1"/>
  <c r="AR24" i="91"/>
  <c r="AR26" i="91" s="1"/>
  <c r="AR27" i="91" s="1"/>
  <c r="AO27" i="91"/>
  <c r="AO28" i="91" s="1"/>
  <c r="AU31" i="91"/>
  <c r="AL26" i="91" l="1"/>
  <c r="AL27" i="91" s="1"/>
  <c r="AL28" i="91" s="1"/>
  <c r="AL29" i="91" s="1"/>
  <c r="AL30" i="91" s="1"/>
  <c r="AO29" i="91"/>
  <c r="AO30" i="91" s="1"/>
  <c r="AO31" i="91" s="1"/>
  <c r="AO49" i="91"/>
  <c r="AU32" i="91"/>
  <c r="AR28" i="91"/>
  <c r="AR29" i="91" s="1"/>
  <c r="AL31" i="91" l="1"/>
  <c r="AL32" i="91" s="1"/>
  <c r="C25" i="91"/>
  <c r="B25" i="91"/>
  <c r="AO32" i="91"/>
  <c r="AU33" i="91"/>
  <c r="AR30" i="91"/>
  <c r="AL33" i="91" l="1"/>
  <c r="AO33" i="91"/>
  <c r="AO52" i="91"/>
  <c r="AU34" i="91"/>
  <c r="AR31" i="91"/>
  <c r="AL34" i="91" l="1"/>
  <c r="AL35" i="91" s="1"/>
  <c r="AL36" i="91" s="1"/>
  <c r="AL37" i="91" s="1"/>
  <c r="AL38" i="91" s="1"/>
  <c r="AL39" i="91" s="1"/>
  <c r="AO34" i="91"/>
  <c r="AU35" i="91"/>
  <c r="AR32" i="91"/>
  <c r="C26" i="91" l="1"/>
  <c r="C28" i="91"/>
  <c r="B28" i="91"/>
  <c r="B27" i="91"/>
  <c r="C27" i="91"/>
  <c r="AL40" i="91"/>
  <c r="B29" i="91" s="1"/>
  <c r="AO35" i="91"/>
  <c r="AU37" i="91"/>
  <c r="AR33" i="91"/>
  <c r="C29" i="91" l="1"/>
  <c r="AL41" i="91"/>
  <c r="AO36" i="91"/>
  <c r="AO66" i="91"/>
  <c r="AU38" i="91"/>
  <c r="AR34" i="91"/>
  <c r="AL42" i="91" l="1"/>
  <c r="AO37" i="91"/>
  <c r="AU40" i="91"/>
  <c r="AR35" i="91"/>
  <c r="AL43" i="91" l="1"/>
  <c r="AO38" i="91"/>
  <c r="AU41" i="91"/>
  <c r="AR36" i="91"/>
  <c r="AL44" i="91" l="1"/>
  <c r="AO39" i="91"/>
  <c r="AO40" i="91" s="1"/>
  <c r="AO43" i="91" s="1"/>
  <c r="AU47" i="91"/>
  <c r="AU48" i="91" s="1"/>
  <c r="AU49" i="91" s="1"/>
  <c r="AU50" i="91" s="1"/>
  <c r="AU51" i="91" s="1"/>
  <c r="AU52" i="91" s="1"/>
  <c r="AR37" i="91"/>
  <c r="AL45" i="91" l="1"/>
  <c r="AO44" i="91"/>
  <c r="AO46" i="91" s="1"/>
  <c r="AO47" i="91" s="1"/>
  <c r="AO50" i="91" s="1"/>
  <c r="AU55" i="91"/>
  <c r="AU56" i="91" s="1"/>
  <c r="AU57" i="91" s="1"/>
  <c r="AU58" i="91" s="1"/>
  <c r="AU59" i="91" s="1"/>
  <c r="AU60" i="91" s="1"/>
  <c r="AU61" i="91" s="1"/>
  <c r="AU62" i="91" s="1"/>
  <c r="AU63" i="91" s="1"/>
  <c r="AU64" i="91" s="1"/>
  <c r="AU65" i="91" s="1"/>
  <c r="AU66" i="91" s="1"/>
  <c r="AU67" i="91" s="1"/>
  <c r="AU68" i="91" s="1"/>
  <c r="AU69" i="91" s="1"/>
  <c r="AU70" i="91" s="1"/>
  <c r="AR38" i="91"/>
  <c r="AL46" i="91" l="1"/>
  <c r="AO53" i="91"/>
  <c r="O27" i="91"/>
  <c r="O24" i="91"/>
  <c r="N24" i="91"/>
  <c r="O25" i="91"/>
  <c r="N25" i="91"/>
  <c r="N46" i="91"/>
  <c r="N37" i="91"/>
  <c r="O59" i="91"/>
  <c r="O61" i="91"/>
  <c r="N30" i="91"/>
  <c r="N33" i="91"/>
  <c r="O32" i="91"/>
  <c r="O36" i="91"/>
  <c r="O48" i="91"/>
  <c r="N35" i="91"/>
  <c r="O30" i="91"/>
  <c r="N53" i="91"/>
  <c r="O26" i="91"/>
  <c r="N27" i="91"/>
  <c r="N66" i="91"/>
  <c r="O45" i="91"/>
  <c r="N41" i="91"/>
  <c r="O50" i="91"/>
  <c r="N65" i="91"/>
  <c r="N32" i="91"/>
  <c r="N43" i="91"/>
  <c r="N49" i="91"/>
  <c r="N54" i="91"/>
  <c r="O35" i="91"/>
  <c r="N38" i="91"/>
  <c r="N29" i="91"/>
  <c r="O44" i="91"/>
  <c r="O39" i="91"/>
  <c r="O38" i="91"/>
  <c r="N31" i="91"/>
  <c r="O56" i="91"/>
  <c r="N59" i="91"/>
  <c r="N62" i="91"/>
  <c r="O51" i="91"/>
  <c r="O68" i="91"/>
  <c r="N63" i="91"/>
  <c r="N34" i="91"/>
  <c r="N52" i="91"/>
  <c r="O52" i="91"/>
  <c r="N40" i="91"/>
  <c r="N57" i="91"/>
  <c r="N68" i="91"/>
  <c r="O42" i="91"/>
  <c r="O49" i="91"/>
  <c r="N67" i="91"/>
  <c r="O65" i="91"/>
  <c r="N56" i="91"/>
  <c r="N47" i="91"/>
  <c r="N58" i="91"/>
  <c r="O58" i="91"/>
  <c r="O34" i="91"/>
  <c r="N72" i="91"/>
  <c r="N69" i="91"/>
  <c r="O55" i="91"/>
  <c r="O57" i="91"/>
  <c r="O40" i="91"/>
  <c r="N70" i="91"/>
  <c r="N71" i="91"/>
  <c r="O28" i="91"/>
  <c r="N64" i="91"/>
  <c r="O69" i="91"/>
  <c r="N45" i="91"/>
  <c r="O54" i="91"/>
  <c r="O41" i="91"/>
  <c r="N60" i="91"/>
  <c r="O37" i="91"/>
  <c r="O47" i="91"/>
  <c r="O70" i="91"/>
  <c r="N39" i="91"/>
  <c r="O43" i="91"/>
  <c r="O29" i="91"/>
  <c r="O71" i="91"/>
  <c r="N26" i="91"/>
  <c r="N36" i="91"/>
  <c r="O67" i="91"/>
  <c r="N55" i="91"/>
  <c r="P61" i="91"/>
  <c r="N42" i="91"/>
  <c r="N48" i="91"/>
  <c r="N28" i="91"/>
  <c r="N61" i="91"/>
  <c r="O31" i="91"/>
  <c r="N44" i="91"/>
  <c r="N51" i="91"/>
  <c r="O62" i="91"/>
  <c r="O66" i="91"/>
  <c r="O72" i="91"/>
  <c r="O64" i="91"/>
  <c r="N50" i="91"/>
  <c r="O53" i="91"/>
  <c r="O33" i="91"/>
  <c r="O46" i="91"/>
  <c r="O63" i="91"/>
  <c r="O60" i="91"/>
  <c r="AR39" i="91"/>
  <c r="AL47" i="91" l="1"/>
  <c r="AO54" i="91"/>
  <c r="AR40" i="91"/>
  <c r="B30" i="91" l="1"/>
  <c r="AL48" i="91"/>
  <c r="AO56" i="91"/>
  <c r="AO57" i="91" s="1"/>
  <c r="AR41" i="91"/>
  <c r="AL49" i="91" l="1"/>
  <c r="AO59" i="91"/>
  <c r="AR42" i="91"/>
  <c r="AL50" i="91" l="1"/>
  <c r="AO60" i="91"/>
  <c r="AR43" i="91"/>
  <c r="AL51" i="91" l="1"/>
  <c r="C30" i="91"/>
  <c r="AO61" i="91"/>
  <c r="AO62" i="91"/>
  <c r="AO64" i="91" s="1"/>
  <c r="AR44" i="91"/>
  <c r="F29" i="91" l="1"/>
  <c r="F27" i="91"/>
  <c r="G26" i="91"/>
  <c r="AL52" i="91"/>
  <c r="G31" i="91"/>
  <c r="G28" i="91"/>
  <c r="F28" i="91"/>
  <c r="G27" i="91"/>
  <c r="G25" i="91"/>
  <c r="F24" i="91"/>
  <c r="F26" i="91"/>
  <c r="G29" i="91"/>
  <c r="F25" i="91"/>
  <c r="G24" i="91"/>
  <c r="G32" i="91"/>
  <c r="G33" i="91"/>
  <c r="F32" i="91"/>
  <c r="G30" i="91"/>
  <c r="F30" i="91"/>
  <c r="F31" i="91"/>
  <c r="F33" i="91"/>
  <c r="F64" i="91"/>
  <c r="F55" i="91"/>
  <c r="F66" i="91"/>
  <c r="G71" i="91"/>
  <c r="F70" i="91"/>
  <c r="F63" i="91"/>
  <c r="F37" i="91"/>
  <c r="F44" i="91"/>
  <c r="G59" i="91"/>
  <c r="F65" i="91"/>
  <c r="F47" i="91"/>
  <c r="F58" i="91"/>
  <c r="G34" i="91"/>
  <c r="G62" i="91"/>
  <c r="G53" i="91"/>
  <c r="G72" i="91"/>
  <c r="F53" i="91"/>
  <c r="G51" i="91"/>
  <c r="G49" i="91"/>
  <c r="G64" i="91"/>
  <c r="G55" i="91"/>
  <c r="F59" i="91"/>
  <c r="G56" i="91"/>
  <c r="F62" i="91"/>
  <c r="G45" i="91"/>
  <c r="G46" i="91"/>
  <c r="F57" i="91"/>
  <c r="F67" i="91"/>
  <c r="F54" i="91"/>
  <c r="G65" i="91"/>
  <c r="G50" i="91"/>
  <c r="G60" i="91"/>
  <c r="G42" i="91"/>
  <c r="G57" i="91"/>
  <c r="F48" i="91"/>
  <c r="G44" i="91"/>
  <c r="G36" i="91"/>
  <c r="G69" i="91"/>
  <c r="G63" i="91"/>
  <c r="G54" i="91"/>
  <c r="F56" i="91"/>
  <c r="G58" i="91"/>
  <c r="G47" i="91"/>
  <c r="F72" i="91"/>
  <c r="F61" i="91"/>
  <c r="F50" i="91"/>
  <c r="F49" i="91"/>
  <c r="G67" i="91"/>
  <c r="G43" i="91"/>
  <c r="F40" i="91"/>
  <c r="F42" i="91"/>
  <c r="G39" i="91"/>
  <c r="F46" i="91"/>
  <c r="G52" i="91"/>
  <c r="F51" i="91"/>
  <c r="F60" i="91"/>
  <c r="F45" i="91"/>
  <c r="G35" i="91"/>
  <c r="G61" i="91"/>
  <c r="F68" i="91"/>
  <c r="F43" i="91"/>
  <c r="F34" i="91"/>
  <c r="F38" i="91"/>
  <c r="G40" i="91"/>
  <c r="F36" i="91"/>
  <c r="G41" i="91"/>
  <c r="G48" i="91"/>
  <c r="F71" i="91"/>
  <c r="G38" i="91"/>
  <c r="F52" i="91"/>
  <c r="G70" i="91"/>
  <c r="F41" i="91"/>
  <c r="G68" i="91"/>
  <c r="G66" i="91"/>
  <c r="F39" i="91"/>
  <c r="G37" i="91"/>
  <c r="F35" i="91"/>
  <c r="F69" i="91"/>
  <c r="AR45" i="91"/>
  <c r="AL53" i="91" l="1"/>
  <c r="AR46" i="91"/>
  <c r="AL54" i="91" l="1"/>
  <c r="AR47" i="91"/>
  <c r="AL55" i="91" l="1"/>
  <c r="AR48" i="91"/>
  <c r="AL56" i="91" l="1"/>
  <c r="AR49" i="91"/>
  <c r="AL57" i="91" l="1"/>
  <c r="AR50" i="91"/>
  <c r="AL58" i="91" l="1"/>
  <c r="AR51" i="91"/>
  <c r="AL59" i="91" l="1"/>
  <c r="AR52" i="91"/>
  <c r="AL60" i="91" l="1"/>
  <c r="AR53" i="91"/>
  <c r="AR54" i="91" s="1"/>
  <c r="AL61" i="91" l="1"/>
  <c r="AL62" i="91" s="1"/>
  <c r="AL63" i="91" s="1"/>
  <c r="AL64" i="91" s="1"/>
  <c r="AL65" i="91" s="1"/>
  <c r="AR55" i="91"/>
  <c r="AR66" i="91"/>
  <c r="C62" i="91" l="1"/>
  <c r="C55" i="91"/>
  <c r="C56" i="91"/>
  <c r="C60" i="91"/>
  <c r="B57" i="91"/>
  <c r="B67" i="91"/>
  <c r="B68" i="91"/>
  <c r="B65" i="91"/>
  <c r="C70" i="91"/>
  <c r="B61" i="91"/>
  <c r="C72" i="91"/>
  <c r="C68" i="91"/>
  <c r="C58" i="91"/>
  <c r="B70" i="91"/>
  <c r="B71" i="91"/>
  <c r="C61" i="91"/>
  <c r="C69" i="91"/>
  <c r="B63" i="91"/>
  <c r="B64" i="91"/>
  <c r="C65" i="91"/>
  <c r="C57" i="91"/>
  <c r="B58" i="91"/>
  <c r="C71" i="91"/>
  <c r="B59" i="91"/>
  <c r="C63" i="91"/>
  <c r="B60" i="91"/>
  <c r="B56" i="91"/>
  <c r="B54" i="91"/>
  <c r="C66" i="91"/>
  <c r="B69" i="91"/>
  <c r="B72" i="91"/>
  <c r="C64" i="91"/>
  <c r="B62" i="91"/>
  <c r="C67" i="91"/>
  <c r="B66" i="91"/>
  <c r="B26" i="91"/>
  <c r="B44" i="91"/>
  <c r="C41" i="91"/>
  <c r="B40" i="91"/>
  <c r="B37" i="91"/>
  <c r="B46" i="91"/>
  <c r="C33" i="91"/>
  <c r="B41" i="91"/>
  <c r="C38" i="91"/>
  <c r="B36" i="91"/>
  <c r="C32" i="91"/>
  <c r="B35" i="91"/>
  <c r="C39" i="91"/>
  <c r="B42" i="91"/>
  <c r="C43" i="91"/>
  <c r="C31" i="91"/>
  <c r="B43" i="91"/>
  <c r="C42" i="91"/>
  <c r="B38" i="91"/>
  <c r="B32" i="91"/>
  <c r="B48" i="91"/>
  <c r="C44" i="91"/>
  <c r="C45" i="91"/>
  <c r="B45" i="91"/>
  <c r="C40" i="91"/>
  <c r="B31" i="91"/>
  <c r="C35" i="91"/>
  <c r="B34" i="91"/>
  <c r="C46" i="91"/>
  <c r="C37" i="91"/>
  <c r="B39" i="91"/>
  <c r="C47" i="91"/>
  <c r="B33" i="91"/>
  <c r="C36" i="91"/>
  <c r="C34" i="91"/>
  <c r="B47" i="91"/>
  <c r="C48" i="91"/>
  <c r="B49" i="91"/>
  <c r="C49" i="91"/>
  <c r="C50" i="91"/>
  <c r="B52" i="91"/>
  <c r="B50" i="91"/>
  <c r="C52" i="91"/>
  <c r="B51" i="91"/>
  <c r="C51" i="91"/>
  <c r="B53" i="91"/>
  <c r="C54" i="91"/>
  <c r="C53" i="91"/>
  <c r="B55" i="91"/>
  <c r="C59" i="91"/>
  <c r="AR56" i="91"/>
  <c r="AR67" i="91"/>
  <c r="AR57" i="91" l="1"/>
  <c r="AR58" i="91" l="1"/>
  <c r="AR59" i="91" l="1"/>
  <c r="AR60" i="91" l="1"/>
  <c r="AR61" i="91" l="1"/>
  <c r="AR62" i="91" l="1"/>
  <c r="AR63" i="91" l="1"/>
  <c r="AR64" i="91" l="1"/>
  <c r="AR65" i="91" l="1"/>
  <c r="J71" i="91" s="1"/>
  <c r="K28" i="91"/>
  <c r="J57" i="91" l="1"/>
  <c r="J60" i="91"/>
  <c r="K31" i="91"/>
  <c r="J54" i="91"/>
  <c r="J34" i="91"/>
  <c r="J59" i="91"/>
  <c r="K38" i="91"/>
  <c r="K27" i="91"/>
  <c r="K40" i="91"/>
  <c r="K24" i="91"/>
  <c r="J40" i="91"/>
  <c r="K35" i="91"/>
  <c r="K30" i="91"/>
  <c r="K65" i="91"/>
  <c r="K25" i="91"/>
  <c r="K47" i="91"/>
  <c r="K49" i="91"/>
  <c r="J27" i="91"/>
  <c r="J39" i="91"/>
  <c r="K58" i="91"/>
  <c r="J25" i="91"/>
  <c r="K26" i="91"/>
  <c r="J45" i="91"/>
  <c r="K37" i="91"/>
  <c r="K41" i="91"/>
  <c r="K72" i="91"/>
  <c r="K33" i="91"/>
  <c r="J35" i="91"/>
  <c r="J31" i="91"/>
  <c r="J67" i="91"/>
  <c r="K34" i="91"/>
  <c r="J37" i="91"/>
  <c r="J32" i="91"/>
  <c r="K50" i="91"/>
  <c r="J41" i="91"/>
  <c r="K29" i="91"/>
  <c r="J24" i="91"/>
  <c r="J47" i="91"/>
  <c r="J29" i="91"/>
  <c r="J38" i="91"/>
  <c r="K32" i="91"/>
  <c r="J46" i="91"/>
  <c r="J26" i="91"/>
  <c r="K39" i="91"/>
  <c r="K45" i="91"/>
  <c r="J28" i="91"/>
  <c r="J30" i="91"/>
  <c r="J43" i="91"/>
  <c r="J69" i="91"/>
  <c r="K63" i="91"/>
  <c r="J61" i="91"/>
  <c r="K66" i="91"/>
  <c r="K69" i="91"/>
  <c r="J56" i="91"/>
  <c r="K51" i="91"/>
  <c r="J53" i="91"/>
  <c r="K68" i="91"/>
  <c r="K71" i="91"/>
  <c r="K55" i="91"/>
  <c r="J66" i="91"/>
  <c r="J58" i="91"/>
  <c r="K60" i="91"/>
  <c r="K57" i="91"/>
  <c r="K61" i="91"/>
  <c r="K42" i="91"/>
  <c r="J63" i="91"/>
  <c r="J50" i="91"/>
  <c r="J70" i="91"/>
  <c r="K43" i="91"/>
  <c r="J48" i="91"/>
  <c r="J44" i="91"/>
  <c r="J65" i="91"/>
  <c r="K59" i="91"/>
  <c r="J51" i="91"/>
  <c r="J62" i="91"/>
  <c r="J49" i="91"/>
  <c r="K46" i="91"/>
  <c r="K52" i="91"/>
  <c r="K62" i="91"/>
  <c r="K53" i="91"/>
  <c r="J72" i="91"/>
  <c r="K44" i="91"/>
  <c r="K67" i="91"/>
  <c r="K54" i="91"/>
  <c r="J64" i="91"/>
  <c r="J68" i="91"/>
  <c r="K56" i="91"/>
  <c r="K36" i="91"/>
  <c r="J33" i="91"/>
  <c r="J36" i="91"/>
  <c r="J42" i="91"/>
  <c r="K64" i="91"/>
  <c r="K70" i="91"/>
  <c r="J52" i="91"/>
  <c r="J55" i="91"/>
  <c r="K48" i="91"/>
</calcChain>
</file>

<file path=xl/sharedStrings.xml><?xml version="1.0" encoding="utf-8"?>
<sst xmlns="http://schemas.openxmlformats.org/spreadsheetml/2006/main" count="8083" uniqueCount="470">
  <si>
    <t>Effekt</t>
  </si>
  <si>
    <t>Vægt</t>
  </si>
  <si>
    <t>Vægtet effekt</t>
  </si>
  <si>
    <t>Vægtet effekt i alt</t>
  </si>
  <si>
    <t>Projektnr.:</t>
  </si>
  <si>
    <t>Udfyldt, initialer og dato:</t>
  </si>
  <si>
    <t>Anlægsudgift (mio.kr.)</t>
  </si>
  <si>
    <t>Projektnavn:</t>
  </si>
  <si>
    <t>Vægtet effekt pr. mio.kr.</t>
  </si>
  <si>
    <t>Projektdefinition</t>
  </si>
  <si>
    <t>Anlægsudgift mio. kr.</t>
  </si>
  <si>
    <t>I alt</t>
  </si>
  <si>
    <t>Nej</t>
  </si>
  <si>
    <t>Total</t>
  </si>
  <si>
    <t>Effektområde</t>
  </si>
  <si>
    <t>Samlet vægtet effekt</t>
  </si>
  <si>
    <t>Indikatorer</t>
  </si>
  <si>
    <t>Projektbeskrivelse</t>
  </si>
  <si>
    <t>Dok. nr.</t>
  </si>
  <si>
    <t>Ver</t>
  </si>
  <si>
    <t>Dato</t>
  </si>
  <si>
    <t>Udfører</t>
  </si>
  <si>
    <t>Stiplan: Projekter og prioritering</t>
  </si>
  <si>
    <t>Rank kr</t>
  </si>
  <si>
    <t>Rank effekt</t>
  </si>
  <si>
    <t>Rangering: Vægtet effekt pr. mio. kr.</t>
  </si>
  <si>
    <t>Rangering: Samlet vægtet effekt</t>
  </si>
  <si>
    <t>Revideret</t>
  </si>
  <si>
    <t>KM</t>
  </si>
  <si>
    <t>Ringe</t>
  </si>
  <si>
    <t>Middel</t>
  </si>
  <si>
    <t>Lille</t>
  </si>
  <si>
    <t>Vurdering af parametre</t>
  </si>
  <si>
    <t>4 stjerner</t>
  </si>
  <si>
    <t>3 stjerner</t>
  </si>
  <si>
    <t>2 stjerner</t>
  </si>
  <si>
    <t>4 stjernet projekter</t>
  </si>
  <si>
    <t>3 stjernet projekter</t>
  </si>
  <si>
    <t>2 stjernet projekter</t>
  </si>
  <si>
    <t>1 stjernet projekter</t>
  </si>
  <si>
    <t>Projekt navn</t>
  </si>
  <si>
    <t>Anlægsoverslag</t>
  </si>
  <si>
    <t>4 stjernede projekter</t>
  </si>
  <si>
    <t>3 stjernede projekter</t>
  </si>
  <si>
    <t>Løbe nr</t>
  </si>
  <si>
    <t>2 stjernede projekter</t>
  </si>
  <si>
    <t>1 stjernede projekter</t>
  </si>
  <si>
    <t>Projekt Nr:</t>
  </si>
  <si>
    <t>Skiltning</t>
  </si>
  <si>
    <t>Cykelbane/kantbane, hastighedsdæmpning el. cykelgade</t>
  </si>
  <si>
    <t>Enkeltrettede stier i hver vejside</t>
  </si>
  <si>
    <t>Sti i eget tracé</t>
  </si>
  <si>
    <t>Krydsning</t>
  </si>
  <si>
    <t>Ingen</t>
  </si>
  <si>
    <t>Skiltning el lign</t>
  </si>
  <si>
    <t>Krydsningshelle</t>
  </si>
  <si>
    <t>Signalanlæg</t>
  </si>
  <si>
    <t>Niveaufri</t>
  </si>
  <si>
    <t>God</t>
  </si>
  <si>
    <t>-</t>
  </si>
  <si>
    <t>Antal bløde trafikanter</t>
  </si>
  <si>
    <t>Skolevej</t>
  </si>
  <si>
    <t>Rekreativ værdi</t>
  </si>
  <si>
    <t>Høj</t>
  </si>
  <si>
    <t>Nogen</t>
  </si>
  <si>
    <t>På sigt</t>
  </si>
  <si>
    <t>Hastighedsgrænse</t>
  </si>
  <si>
    <t>ÅDT</t>
  </si>
  <si>
    <t>&lt;250</t>
  </si>
  <si>
    <t>Øvrige planer</t>
  </si>
  <si>
    <t>Enkelt borgerhenv og politikere</t>
  </si>
  <si>
    <t>CP Rute</t>
  </si>
  <si>
    <t>Primær og/eller SCS</t>
  </si>
  <si>
    <t>Sekundær</t>
  </si>
  <si>
    <t>Oplands</t>
  </si>
  <si>
    <t>Rekreativ</t>
  </si>
  <si>
    <t>Ikke udpeget</t>
  </si>
  <si>
    <t>Stitype</t>
  </si>
  <si>
    <t>Tilkobling</t>
  </si>
  <si>
    <t>Begge ender og undervejs</t>
  </si>
  <si>
    <t>Begge ender</t>
  </si>
  <si>
    <t>En ende og undervejs</t>
  </si>
  <si>
    <t>En ende</t>
  </si>
  <si>
    <t>Bil til cykel</t>
  </si>
  <si>
    <t>Vægtet effekt pr. mio. kr</t>
  </si>
  <si>
    <t>Stjerner</t>
  </si>
  <si>
    <t>Vurdering</t>
  </si>
  <si>
    <t>Til prioritering - Vægtet effekt</t>
  </si>
  <si>
    <t>Antal stjerner</t>
  </si>
  <si>
    <t>Kørt hastighed (85% fraktil)</t>
  </si>
  <si>
    <t>Opmærksomhedspunkter</t>
  </si>
  <si>
    <t>Længde</t>
  </si>
  <si>
    <t>Arealerhvervelse</t>
  </si>
  <si>
    <t>Landbrugsjord</t>
  </si>
  <si>
    <t>Prydhave</t>
  </si>
  <si>
    <t>Beboelse</t>
  </si>
  <si>
    <t>Lokalitet:</t>
  </si>
  <si>
    <t>Projekttitel:</t>
  </si>
  <si>
    <t>ÅDT, biltrafik</t>
  </si>
  <si>
    <t>ÅDT, cykeltrafik</t>
  </si>
  <si>
    <t>Gnms. Hastighed</t>
  </si>
  <si>
    <t>85 % fraktil</t>
  </si>
  <si>
    <t>Antal uheld de seneste 5 år</t>
  </si>
  <si>
    <t>Ikke releveant</t>
  </si>
  <si>
    <t>Omfatter projektet forbedring af krydsninger</t>
  </si>
  <si>
    <t xml:space="preserve">Stiplan: Projekter og prioritering </t>
  </si>
  <si>
    <t>2024-145-xx</t>
  </si>
  <si>
    <t>0-25</t>
  </si>
  <si>
    <t>25-50</t>
  </si>
  <si>
    <t>&gt;100</t>
  </si>
  <si>
    <t>50-75</t>
  </si>
  <si>
    <t>75-100</t>
  </si>
  <si>
    <t>Trafiksikkerhed for lette trafikanter og eksisterende forhold</t>
  </si>
  <si>
    <t>1.1</t>
  </si>
  <si>
    <t>Antal uheld med bløde trafikanter de seneste 5 år</t>
  </si>
  <si>
    <t>1.2</t>
  </si>
  <si>
    <t>Trafikmængden</t>
  </si>
  <si>
    <t>1.3</t>
  </si>
  <si>
    <t>Hastighedsgrænsen</t>
  </si>
  <si>
    <t>1.4</t>
  </si>
  <si>
    <t>Målt hastighedsniveua</t>
  </si>
  <si>
    <t>1.5</t>
  </si>
  <si>
    <t>Vejens udformning</t>
  </si>
  <si>
    <t>Stiprojektets effekt og udformning</t>
  </si>
  <si>
    <t>2.1</t>
  </si>
  <si>
    <t>Stitypen</t>
  </si>
  <si>
    <t>2.2</t>
  </si>
  <si>
    <t>Tilkobles stien til eks. Stier</t>
  </si>
  <si>
    <t>2.3</t>
  </si>
  <si>
    <t>Forbedres krydsninger af veje</t>
  </si>
  <si>
    <t>Skolevej og antal brugere</t>
  </si>
  <si>
    <t>3.1</t>
  </si>
  <si>
    <t>Potentiale - daglige brugere</t>
  </si>
  <si>
    <t>3.2</t>
  </si>
  <si>
    <t>Rekreativ værdi - antal brugere</t>
  </si>
  <si>
    <t>3.3</t>
  </si>
  <si>
    <t>Stiens potentiale som skolerute</t>
  </si>
  <si>
    <t>Antal uheld med lette trafikanter de seneste 5 år</t>
  </si>
  <si>
    <t>Trafikmængde (ÅDT, biltrafik)</t>
  </si>
  <si>
    <t>2500-4999</t>
  </si>
  <si>
    <t>Tilkobles stien til eksisterende stier</t>
  </si>
  <si>
    <t>Antal forventede daglige brugere</t>
  </si>
  <si>
    <t>Ja, primær skolevej fra delområde af skoledistrikt</t>
  </si>
  <si>
    <t>Antal uheld</t>
  </si>
  <si>
    <t>1-2</t>
  </si>
  <si>
    <t>3-5</t>
  </si>
  <si>
    <t>6-9</t>
  </si>
  <si>
    <t>10+</t>
  </si>
  <si>
    <t>250-999</t>
  </si>
  <si>
    <t>1000-2499</t>
  </si>
  <si>
    <t>5000+</t>
  </si>
  <si>
    <t>Dobbeltrettet cykelsti langs vej</t>
  </si>
  <si>
    <t>*Farligt*</t>
  </si>
  <si>
    <t>Ingen potentiale</t>
  </si>
  <si>
    <t>Ja, 1-25 huse</t>
  </si>
  <si>
    <t>Ja, 25-75 huse</t>
  </si>
  <si>
    <t>Ja,mere end 75 huse</t>
  </si>
  <si>
    <t>4.1</t>
  </si>
  <si>
    <t>Element</t>
  </si>
  <si>
    <t>Enhed</t>
  </si>
  <si>
    <t>Enhedspris</t>
  </si>
  <si>
    <t>Ensrettet cykelsti m. rabat (2 stk.)</t>
  </si>
  <si>
    <t>Lbm</t>
  </si>
  <si>
    <t>Dobbeltrettet fællessti, eget tracé, land</t>
  </si>
  <si>
    <t>Dobbeltrettet fællessti, eget tracé, by</t>
  </si>
  <si>
    <t>Hævet flade</t>
  </si>
  <si>
    <t>stk</t>
  </si>
  <si>
    <t>Bump</t>
  </si>
  <si>
    <t>Stk</t>
  </si>
  <si>
    <t>Krydsningshelle, åbent land</t>
  </si>
  <si>
    <t>Intern tid 3%</t>
  </si>
  <si>
    <t>Noter:</t>
  </si>
  <si>
    <t>Enhedspriser i åbent land vurderes at indeholde arealeerhvervelse af landbrugsjord el prydhave</t>
  </si>
  <si>
    <t>Projektdata</t>
  </si>
  <si>
    <t>Noter</t>
  </si>
  <si>
    <t>Sum</t>
  </si>
  <si>
    <t>Intern tid</t>
  </si>
  <si>
    <t>Længde (m) / antal (stk)</t>
  </si>
  <si>
    <t>Søby-Hornslet</t>
  </si>
  <si>
    <t>Borupvej</t>
  </si>
  <si>
    <t>Dobbeltrettet fællessti</t>
  </si>
  <si>
    <t>https://maps.app.goo.gl/vx67BpYqvwxBiA698</t>
  </si>
  <si>
    <t>Skønnet</t>
  </si>
  <si>
    <t>Der etableres en dobbltrettet sti langs den sydlige side af vejen. Der etableres krydsningshelle i hver ende.</t>
  </si>
  <si>
    <t>Ja</t>
  </si>
  <si>
    <t>Karlby-Hornslet</t>
  </si>
  <si>
    <t>Teglvangsvej</t>
  </si>
  <si>
    <t>https://maps.app.goo.gl/gZkpLNRSFRHR5oNU6</t>
  </si>
  <si>
    <t>Der etableres en dobbeltrettet fællessti i den østlige side af vejen. I den vestlige side af vejen er der to ejendomme, som ville være vanskelige at passere.</t>
  </si>
  <si>
    <t>Der skal fældes en del skov</t>
  </si>
  <si>
    <t>Termestrup-Kommunegrænsen</t>
  </si>
  <si>
    <t>Auningvej</t>
  </si>
  <si>
    <t>Dobbeltrettet cykelsti</t>
  </si>
  <si>
    <t>https://maps.app.goo.gl/E3MguPYUPh9ntucq8</t>
  </si>
  <si>
    <t>Der etableres en dobbeltrettet cykelstien. Der er umiddelbart de samme udfordringer i begge sider, hvor få huse er tæt på vejen. Der skal derfor afklares senere</t>
  </si>
  <si>
    <t>Bør udføres som et fællesprojekt med Norddjurs</t>
  </si>
  <si>
    <t>Foranstaltninger ved huse</t>
  </si>
  <si>
    <t>Mørke-Thorsager</t>
  </si>
  <si>
    <t>Mørkevej</t>
  </si>
  <si>
    <t>https://maps.app.goo.gl/YqJfVdUhnwpiveot6</t>
  </si>
  <si>
    <t>Der ertableres en 2,5 m bred dobbeltrettet sti i den vestlige side af vejen. Ved Thorsager etableres en krydsningshelle og stier føres enkeltrettet de sidst 50 m ind til Ryomvej.</t>
  </si>
  <si>
    <t>Ved Mørkevej 8 passerer stien tæt på vejen.</t>
  </si>
  <si>
    <t>Enkeltrettede cykelstier</t>
  </si>
  <si>
    <t>Thorsager-Korslund</t>
  </si>
  <si>
    <t>Ryomvej</t>
  </si>
  <si>
    <t>https://maps.app.goo.gl/ACCmmnFCXZYMTuvK9</t>
  </si>
  <si>
    <t>Fra Thorsager forlænges de enkeltrettede stier ved byportshellen. Der etableres en krydsningshelle 250 m fra den eksisterende byportshelle. Der etableres en 2,5 m bred dobbeltrettet cykelsti langs den østlige side af vejen.</t>
  </si>
  <si>
    <t>Enkeltrettede stier</t>
  </si>
  <si>
    <t>Thorsager-Mesballe</t>
  </si>
  <si>
    <t>https://maps.app.goo.gl/YuGirgQNkdVvJ9ZQA</t>
  </si>
  <si>
    <t>Thorsagervej</t>
  </si>
  <si>
    <t>Der etableres 350 m enkeltrettede stier i Thorsager fra rundkørslen til byskilt. Der etableres en byporthelle som krydsningspunkt. Stien fortsættes som dobbeltrettet 3,5 km til Mesballe langs vejens østlige side. Igennem Mesballe etableres dobbeltrettet sti 350 m. Stien pålægges vigepligt ved sideveje.</t>
  </si>
  <si>
    <t>Ved Thorsagervej 9 i Mesballe skal skrænten udvides.</t>
  </si>
  <si>
    <t>Rodskov - Strand</t>
  </si>
  <si>
    <t>https://maps.app.goo.gl/2zXTbAWRTSz1fV6TA</t>
  </si>
  <si>
    <t>Ønbjergvej</t>
  </si>
  <si>
    <t>Der etableres en dobbeltrettet fællessti langs den sydlige/vestlige side af vejen. Stien tilsluttes Landevejen hvor der er en krydsningshelle vest for Ønbjergvej</t>
  </si>
  <si>
    <t>Rønde - Følle Strand</t>
  </si>
  <si>
    <t>https://maps.app.goo.gl/QHG6sMNaqeLNgbek8</t>
  </si>
  <si>
    <t>Stranvejen</t>
  </si>
  <si>
    <t>Sæsonafhængigt</t>
  </si>
  <si>
    <t>Der etableres en 2,5 m dobbeltrettet fællessti syd for vejen. Stien føres syd om Strandvejen 3-9 grundet plads forhold. Stien føres via Hejrevej som asfalteres. Stibroen ovet Stubbro Bæk genanvendes.</t>
  </si>
  <si>
    <t>Stien føres syd om boliger væk fra vejen. Er det muligt?</t>
  </si>
  <si>
    <t>Arealerhvervelse - ekstra</t>
  </si>
  <si>
    <t>Vurderet</t>
  </si>
  <si>
    <t>Nimtoffte</t>
  </si>
  <si>
    <t>Frederikslundvej</t>
  </si>
  <si>
    <t>Der etableres en dobbeltrettet cykelti langs vejens østlige side</t>
  </si>
  <si>
    <t>Sammenhæng  med vejprojekt</t>
  </si>
  <si>
    <t>Nimtofte-Koed</t>
  </si>
  <si>
    <t>https://maps.app.goo.gl/YvHXp43nxtR1vaT37</t>
  </si>
  <si>
    <t>Skalhøjvej</t>
  </si>
  <si>
    <t>Dobbeltrettet cykelti</t>
  </si>
  <si>
    <t>Der etableres en 2,5 m bred dobbeltrettet cykelsti langs den vestlige side af vejen.</t>
  </si>
  <si>
    <t>Nødager - Dammelstrup - Pederstrup</t>
  </si>
  <si>
    <t>https://maps.app.goo.gl/57p5xa4x3bXHGjJw7</t>
  </si>
  <si>
    <t>Nødagervej</t>
  </si>
  <si>
    <t>Dobbeltrettet fællesti</t>
  </si>
  <si>
    <t>Der etableres en dobbeltrettet cykelsti med en bredde på 2,5 m. Igennem Drammelstrup og Pederstrup etableres fartdæmpning. Stier afbrydes</t>
  </si>
  <si>
    <t>Stien skal afbrydes igennem landsbyerne. Der skal indregnes fartdæmpere.</t>
  </si>
  <si>
    <t>Rosmus-Tirstrup</t>
  </si>
  <si>
    <t>https://maps.app.goo.gl/Bhi2FANVMQX38Js48</t>
  </si>
  <si>
    <t>Lunbakkevej</t>
  </si>
  <si>
    <t>Donneltrettet cykelsti</t>
  </si>
  <si>
    <t>Der etableres en dobbeltrettet cykelsti med en bredde på 2, 5 m langs sydsiden af vejen</t>
  </si>
  <si>
    <t>Balle</t>
  </si>
  <si>
    <t>https://maps.app.goo.gl/9fnowTviXJmSdbW16</t>
  </si>
  <si>
    <t>Søndervang-Østergade</t>
  </si>
  <si>
    <t>Specialløsning</t>
  </si>
  <si>
    <t>Der etableres en krydsningshelle på Søndervang umiddelbart nord for Nyballevej. Der etableres 350 m dobbeltrettet cykelsti langs østsiden af vejen. Stien forbindes med lokalvej bagom. Byen fartdæmpes med 10 fartdæmpere</t>
  </si>
  <si>
    <t>Der er ikke plads imellem husene til stier</t>
  </si>
  <si>
    <t>Uforudseete</t>
  </si>
  <si>
    <t>Rosmus Skole-Hyllested</t>
  </si>
  <si>
    <t>https://maps.app.goo.gl/W4psPw2mxn4bAJdg6</t>
  </si>
  <si>
    <t>Bispemosevej</t>
  </si>
  <si>
    <t>Der etableres en dobbeltrettet cykelsti langs den vestlige side af vejen.</t>
  </si>
  <si>
    <t>Hyllested-Stenled</t>
  </si>
  <si>
    <t>https://maps.app.goo.gl/jXZxKDX2YQvPMW3y5</t>
  </si>
  <si>
    <t>Stenledvej</t>
  </si>
  <si>
    <t>Hyllested Skovgårde-Holme</t>
  </si>
  <si>
    <t>https://maps.app.goo.gl/QEzVkYvMA4X8ayQNA</t>
  </si>
  <si>
    <t>Stenledvej-Havmøllevej</t>
  </si>
  <si>
    <t>Hyllested Skovgårde-Holme. Der etableres dobbeltrettet cykelsti langs den vestlige side af vejen.</t>
  </si>
  <si>
    <t>Skærsø-Jernhatten</t>
  </si>
  <si>
    <t>https://maps.app.goo.gl/gEb38YK562kySQMR8</t>
  </si>
  <si>
    <t>Havmøllevej-Hovdigevej</t>
  </si>
  <si>
    <t>Øst for Holme etableres en dobbeltrettet cykelsti langs den sydlige side af vejen. Igennem Holme er vejen fartdæmpet. Vest for Holme skal det undersøges hvordan stien skal forløbe som dobbeltrettet cykelsti.</t>
  </si>
  <si>
    <t>Vest for Holme er der huse tæt på vejen på begge sider af vejen. Skal vejen forsættes eller skal der køres bagom?
Der er desuden en del terræn ved Hovdigevej 6. Er terræn en del af Mols Bjerge? Ligger hen som hede</t>
  </si>
  <si>
    <t>Omlægning af vej over 100 m</t>
  </si>
  <si>
    <t>Skærsø-Dråby</t>
  </si>
  <si>
    <t>https://maps.app.goo.gl/RyvwYsUAdtoFF3B49</t>
  </si>
  <si>
    <t>Hovdigevej</t>
  </si>
  <si>
    <t>Stien etableres langs den vestlige side af vejen.</t>
  </si>
  <si>
    <t>Der er en del terræn på modsatte side af kirkegården ved Dråby</t>
  </si>
  <si>
    <t>Ekstra Jordarbejde</t>
  </si>
  <si>
    <t>Dråby-Ebeltoft</t>
  </si>
  <si>
    <t>https://maps.app.goo.gl/QKe4Q9TiY51vHhbS8</t>
  </si>
  <si>
    <t>Dråbyvej</t>
  </si>
  <si>
    <t>Enkelrettede cykelstier</t>
  </si>
  <si>
    <t>Der etableres enkeltrettede cykelstier med en bredde på 1,8 m.</t>
  </si>
  <si>
    <t>Det vurderes, at der skal erhveves areal fra 15-30 haver. Dette skal undersøges nærmere.</t>
  </si>
  <si>
    <t>15-30</t>
  </si>
  <si>
    <t>Boeslum-Boeslum Strand</t>
  </si>
  <si>
    <t>https://maps.app.goo.gl/RW79jTkk2aNz5FGm8</t>
  </si>
  <si>
    <t>Søkjersvej</t>
  </si>
  <si>
    <t>Ferietrafik er højere</t>
  </si>
  <si>
    <t>Der etableres en 2,5 m bred dobbeltrettet cykelsti langs den sydlige side af vejen.</t>
  </si>
  <si>
    <t>Der skal sikre god oversigt hvor stien tilsluttes ved Boeslum.</t>
  </si>
  <si>
    <t>Ebeltodt-Elsegårde</t>
  </si>
  <si>
    <t>https://maps.app.goo.gl/2e9oaj2VoQvvtAeJ6</t>
  </si>
  <si>
    <t>Elsegårdevej</t>
  </si>
  <si>
    <t>Der etableres enkeltrettede stier på en 500 m lang strækning imellem Østeralle og byzonetavlen. Der etableres en krydsningshelle ved byzonetavlen. Der etableres 2,6 km dobbeltrettet cykelsti til Elsegårde</t>
  </si>
  <si>
    <t>Enkeltrettede stier og krydsningshelle</t>
  </si>
  <si>
    <t>Lofthus-Øksenmølle</t>
  </si>
  <si>
    <t>Skørhus Skovvej-øksenmølle</t>
  </si>
  <si>
    <t>Der etableres en dobbeltrettet cykelsti imellem Skærsø Skovvej og Øksenmøllevej. Der etableres stibro over vandløb</t>
  </si>
  <si>
    <t>ja</t>
  </si>
  <si>
    <t>Stibro over vandløb</t>
  </si>
  <si>
    <t>Gravlev-Øksenmølle</t>
  </si>
  <si>
    <t>https://maps.app.goo.gl/aJm5bytA81V91kCP8</t>
  </si>
  <si>
    <t>Øksenmøllevej-Bækkenvangen</t>
  </si>
  <si>
    <t>Stubbesøvej-Gravlevsti</t>
  </si>
  <si>
    <t>https://maps.app.goo.gl/9PtZArXZ4k8iiBfK6</t>
  </si>
  <si>
    <t>Møllebækvej</t>
  </si>
  <si>
    <t>Der etableres dobbeltrettet cykelsti. Igennem bebyggelsen kan der dog kun etableres fartdæmpere</t>
  </si>
  <si>
    <t>Placeret nord for vejen. Vær opmærksom på jordflytning</t>
  </si>
  <si>
    <t>Jordflytning</t>
  </si>
  <si>
    <t xml:space="preserve">Vurderet </t>
  </si>
  <si>
    <t>Gravelev Bygade-Gravlevstien</t>
  </si>
  <si>
    <t>https://maps.app.goo.gl/ED1K6rZiLGLrnCoW7</t>
  </si>
  <si>
    <t>Stubbesøvej</t>
  </si>
  <si>
    <t>Der etableres dobbeltrettet cykelsti langs den østlige og sydlige side af vejen</t>
  </si>
  <si>
    <t>OBS på at der skal arbejdes meget med terræn</t>
  </si>
  <si>
    <t>Terræn</t>
  </si>
  <si>
    <t>Dragsmur-Kongsgårde</t>
  </si>
  <si>
    <t>https://maps.app.goo.gl/URXEr5J7mN8cFw1r9</t>
  </si>
  <si>
    <t>Asgilhøjevej</t>
  </si>
  <si>
    <t>Der etableres en 2,5 m bred dobbeltrettet cykelsti langs den østlige side af vejen</t>
  </si>
  <si>
    <t>Der er 200 m midt på stræknngen med meget terræn</t>
  </si>
  <si>
    <t>Fuglsø-Knebelbro</t>
  </si>
  <si>
    <t>https://maps.app.goo.gl/7Lk3Mrpd2BML5pUr5</t>
  </si>
  <si>
    <t>Søndre Molsvej</t>
  </si>
  <si>
    <t>Der etableres 2,5 m dobbeltrettet cykelsti langs den sydlige side af vejen</t>
  </si>
  <si>
    <t>Der er mange huse tæt på vejen på begge sider. Vejforsætninger</t>
  </si>
  <si>
    <t>Vejtilpasninger</t>
  </si>
  <si>
    <t>Tved-Dejret</t>
  </si>
  <si>
    <t>https://maps.app.goo.gl/4ypZeowZQgAbyM3X9</t>
  </si>
  <si>
    <t>Kirkebjergvej</t>
  </si>
  <si>
    <t>Skønnet - lige over 1.000</t>
  </si>
  <si>
    <t>Der etableres en dobbeltrettet cykelsti med en bredde på 2,5 m langs den nordlige side af vejen. Ved byzonen ved Tved og Dejret etableres bump hvor stien tilsluttet. Stien føres helt ind til Brugsen i Tved</t>
  </si>
  <si>
    <t>Der bør fartdæmpes igennem Tved.</t>
  </si>
  <si>
    <t>https://maps.app.goo.gl/JYh41zer5et5dDzP9</t>
  </si>
  <si>
    <t>Der etableres en dobbeltrettet cykelsti med en bredde på 2,5 m på den nordlige side af vejen.</t>
  </si>
  <si>
    <t>Dejret-Skødshoved Havn</t>
  </si>
  <si>
    <t>https://maps.app.goo.gl/YKVFBJ39bvDH937q9</t>
  </si>
  <si>
    <t>Vestre Strandvej</t>
  </si>
  <si>
    <t>Lige under 1000 i 2019</t>
  </si>
  <si>
    <t>Der etableres en dobbeltrettet cykelsti med en bredde på 2,5 m. Det skal afklares i hvilken side af vejen.</t>
  </si>
  <si>
    <t>I Dejret er der er kurve med dårlig oversigt. Stien bør starte før dette sving.</t>
  </si>
  <si>
    <t>Skørring-Søby</t>
  </si>
  <si>
    <t>https://maps.app.goo.gl/vCT8HBw3dyCGHa8f8</t>
  </si>
  <si>
    <t>Demstrupvej (Hønebjergvej)</t>
  </si>
  <si>
    <t>Dobbelrettet fællessti</t>
  </si>
  <si>
    <t>Der etableres en 2,5 m bred cykelsti langs den sydlige side af vejen</t>
  </si>
  <si>
    <t>Termestrup-Rosenholmvej</t>
  </si>
  <si>
    <t>https://maps.app.goo.gl/aKeYUbhmC254ABZV8</t>
  </si>
  <si>
    <t>Rosenholmvej</t>
  </si>
  <si>
    <t>Der etableres en dobbeltrettet cykelsti med en bredde på 2,5 m. Der skal etableres en stitunnel under letbanen. Der skal etableres en stibro over Rosenholm Å</t>
  </si>
  <si>
    <t>Der skal etableres stitunnel under letbanen. Skørring Å/Rosenholm Å skal passeres på bro. Området er lavbundsområde.</t>
  </si>
  <si>
    <t>Stitunnel - rør under bane</t>
  </si>
  <si>
    <t>Stibro og blød bund</t>
  </si>
  <si>
    <t>Kolind-Rostved</t>
  </si>
  <si>
    <t>https://maps.app.goo.gl/FHMdLwkj1A4Lazza6</t>
  </si>
  <si>
    <t>Frellingvej (Flintebakken)</t>
  </si>
  <si>
    <t>Der etableres en 2,5 m bred dobbeltrettet cykelsti langs den østlige side af vejen. Der etableres en krydsningshelle ved Rostved, så der kan skiftes side til de enkeltrettede stier</t>
  </si>
  <si>
    <t>Bjødstrup-Rostved</t>
  </si>
  <si>
    <t>https://maps.app.goo.gl/Cji7B82wQyQNLbZe7</t>
  </si>
  <si>
    <t>Grenåvej</t>
  </si>
  <si>
    <t>Der etableres en 2,5 m bred dobbeltrettet cykelsti langs den østlige side af vejen.</t>
  </si>
  <si>
    <t>Det skal undersøges hvordan stien kan føres under Djurslandsmotorvejen. Der er afsat penge til en løsning med lys og indsnævring</t>
  </si>
  <si>
    <t>Løsning under Djurslandsmotorvej</t>
  </si>
  <si>
    <t>Lyngevej</t>
  </si>
  <si>
    <t>https://maps.app.goo.gl/g41vSmpMEDsms3qX7</t>
  </si>
  <si>
    <t>Knebel-Vistoft</t>
  </si>
  <si>
    <t>Der etableres en dobbeltrettet sti i vejens vestlige/sydlige side. I Vistoft begynder stien hvor hastighedszonen begynder. Der etableres en hævet flade ved byzonetavlen. Stien afsluttes i Knebel ved skolen</t>
  </si>
  <si>
    <t>Der er ikke plads til stien ved Lyngevej nr. 48. Vejen skal forlægges. Stien vil passere tæt på Lyngevej nr. 58</t>
  </si>
  <si>
    <t>Forlægning af vej</t>
  </si>
  <si>
    <t>Øerne-Ebeltoft</t>
  </si>
  <si>
    <t>https://maps.app.goo.gl/SPSQX1aruvAfFNuA9</t>
  </si>
  <si>
    <t>Øerkrogvejen</t>
  </si>
  <si>
    <t>Der etableres en 2,5 m bred dobbeltrettet cykelsti på den sydlige side af vejen.</t>
  </si>
  <si>
    <t>Etablering af krydsningshelle mod vest</t>
  </si>
  <si>
    <t>Mørke</t>
  </si>
  <si>
    <t>Thorsagervej ml. Skolevej og Ebeltoftvej</t>
  </si>
  <si>
    <t>https://maps.app.goo.gl/rECNX7URtoGCDHmW8</t>
  </si>
  <si>
    <t>Der etableres enkeltrettede cykelstier mellem Ebeltoftvej og Skolevej. På Ebeltoftvej gennembrydes hellen, så den er egnet til krydsning.</t>
  </si>
  <si>
    <t>Helle på Ebeltoftvej gennembrydes</t>
  </si>
  <si>
    <t>Gennembrud af krydsningshelle</t>
  </si>
  <si>
    <t>Søby</t>
  </si>
  <si>
    <t>Vestersøvej-Borupvej</t>
  </si>
  <si>
    <t>https://maps.app.goo.gl/TEx3ScZm4P1Sqa3b9</t>
  </si>
  <si>
    <t>Der etableres 350 m dobbeltrettet cykelsti langs den østlige side af vejen. Der etableres en hævet flade i krydset Hønebjergvej.</t>
  </si>
  <si>
    <t>Hævet flade ved stiafslutning.</t>
  </si>
  <si>
    <t>Ryomgård</t>
  </si>
  <si>
    <t>https://maps.app.goo.gl/4rCzHYkLK6Hd7MJq8</t>
  </si>
  <si>
    <t>Thorsagervej ml byzonetavle og Vestergade</t>
  </si>
  <si>
    <t>AFVENTER Projekt i Ryomgård</t>
  </si>
  <si>
    <t>Der etableres 1,8 m brede enkeltrettede cykelstier imellem byzonetavlen og rundkørslen ved Vestergade. Der etableres en krydsningshellen ved byzonetavlen.</t>
  </si>
  <si>
    <t>Projektet kræver arealerhvervelse. 
Der er desuden udfordringer med plads i den sydlige del ved bindingsværkhus og sø. Letbanen skal krydses.</t>
  </si>
  <si>
    <t>Hornslet - Tingvej</t>
  </si>
  <si>
    <t>https://maps.app.goo.gl/RsefX9URd1DnB3yz7</t>
  </si>
  <si>
    <t>2 minus 1 vej</t>
  </si>
  <si>
    <t>Der etableres 2 minus 1 vej til 40 km/t med bump</t>
  </si>
  <si>
    <t>Rønde</t>
  </si>
  <si>
    <t>https://maps.app.goo.gl/AjDPRhqTSLjEAorp7</t>
  </si>
  <si>
    <t>Frederiks Allé</t>
  </si>
  <si>
    <t>Modstrømscykelsti</t>
  </si>
  <si>
    <t>Modstrømscykelsti hvor cyklister kører på kørebanen med bilerne. Frederiks Allé skal således ensrettes mod vest.</t>
  </si>
  <si>
    <t>Parkering skal flyttes. Frederiks Allé er i dag hyppigt benyttet til parkering</t>
  </si>
  <si>
    <t>Ebeltoft - Egedalsvej</t>
  </si>
  <si>
    <t>https://maps.app.goo.gl/3oKmFGPFPpnBA1bD7</t>
  </si>
  <si>
    <t>Der etableres 2,5 m bred dobbeltrettet cykelsti langs den nordlige side af vejen.</t>
  </si>
  <si>
    <t>Der skal erhverevs areal fra legepladser ved institutioner</t>
  </si>
  <si>
    <t>Hornslet - sti langs banen</t>
  </si>
  <si>
    <t>Ingen trafik</t>
  </si>
  <si>
    <t>Der etableres en dobbeltrettet si vest for letbanen imellem Amaliegårdvej og Holmagervej</t>
  </si>
  <si>
    <t>Kolind - Drasbeksgade</t>
  </si>
  <si>
    <t>Drasbeksgade (Kapelvej-Nødager)</t>
  </si>
  <si>
    <t>https://maps.app.goo.gl/PysNyimM5tk65un8A</t>
  </si>
  <si>
    <t>Enkeltrettede stier langs vej</t>
  </si>
  <si>
    <t>Der etableres enkeltrettede cykelstier langs hver side af vejen. Over Mårup Å etableres en fodgængerbro i den vestlige side for at skabe plads til cyklister på den eksisterende bro.</t>
  </si>
  <si>
    <t>Der er snæveret flere steder grundet terræn og bygninger. Er det muligt. Mårup Å skal krydses</t>
  </si>
  <si>
    <t>Fodgængerbro over å</t>
  </si>
  <si>
    <t>Støttemure</t>
  </si>
  <si>
    <t>Kaløvej - Rønde</t>
  </si>
  <si>
    <t>https://maps.app.goo.gl/XAFjBN9YXHqYD5c39</t>
  </si>
  <si>
    <t>Sti af lokalvej</t>
  </si>
  <si>
    <t>Der etableres en 2,5 m dobbeltrettet cygkelsti øst for grusvejen</t>
  </si>
  <si>
    <t>Rønde - Smouenvej</t>
  </si>
  <si>
    <t>https://maps.app.goo.gl/dmKcRjYHH8Uz2H8i7</t>
  </si>
  <si>
    <t>Rønde - Smouenvej - nord for slotsparken-Hovedgaden</t>
  </si>
  <si>
    <t>Intervallet i oprindeligt data stemmer ikke?</t>
  </si>
  <si>
    <t>Der etavleres en krydsningshelle hvor den dobbeltrettede sti afsluttes. Der etableres en hævet flade ved Frederiks Allé i syd</t>
  </si>
  <si>
    <t>Skønnet enhedspris</t>
  </si>
  <si>
    <t>Ryomgård - nv for skolen</t>
  </si>
  <si>
    <t>https://maps.app.goo.gl/bGtkB4SL7c4i8QaW9</t>
  </si>
  <si>
    <t>Etablering af dobbeltrettet cykelsti, der forbinder nye boligområder til skolen.</t>
  </si>
  <si>
    <t>Femmøller - Hovedgaden</t>
  </si>
  <si>
    <t>Der etableres enkeltrettede cykelstier som erstatning for kantbaner</t>
  </si>
  <si>
    <t>Middel: Acceptabel vejbredde. Få sving med begrænset oversigt.</t>
  </si>
  <si>
    <t>Ringe: Acceptabel vejbredde. Sving med meget begrænset oversigt.</t>
  </si>
  <si>
    <t>Vurderet af: Peter Søndergaard, Trafikplan</t>
  </si>
  <si>
    <t>Ringe: Acceptabel vejbredde. Sving og bakker med meget begrænset oversigt.</t>
  </si>
  <si>
    <t>God: Acceptabel vejbredde. Sving med stor radius.</t>
  </si>
  <si>
    <t>Middel: Acceptabel vejbredde. Sving med begrænset oversigt.</t>
  </si>
  <si>
    <t>Middel: Acceptabel vejbredde. Ingen kantbaner</t>
  </si>
  <si>
    <t>Ringe: Smal vejbredde</t>
  </si>
  <si>
    <t>Farligt: Smal vej. Dårlig oversigt i kurver.</t>
  </si>
  <si>
    <t>https://maps.app.goo.gl/4LUsJ6jST5MmuZxo6</t>
  </si>
  <si>
    <t>Middel: Acceptabel vejbredde.Byzone</t>
  </si>
  <si>
    <t>Middel: Acceptabel vejbredde.I dag 2 minus 1 vej</t>
  </si>
  <si>
    <t>Middel: Acceptabel vejbredde. Acceptabel oversigt i kurver.</t>
  </si>
  <si>
    <t>Ringe: Acceptabel vejbredde. Meget begrænset oversigt i flere kurver.</t>
  </si>
  <si>
    <t>God: God vejbredde. Brede kantbaner på en stor del af strækningen.</t>
  </si>
  <si>
    <t>https://maps.app.goo.gl/a3eQRJpuvSjzYSXw5</t>
  </si>
  <si>
    <t>Farligt: Hovedvejen er ikke egnet til lette trafikater.</t>
  </si>
  <si>
    <t>Farligt: Smal vej. Dårlig oversigt i flere kurver.</t>
  </si>
  <si>
    <t>Farligt: Dårlig oversigt i flere kurver.</t>
  </si>
  <si>
    <t>Ingen potentiale da der mangler sti ml. Tved og Knebelbro</t>
  </si>
  <si>
    <t>Middel: Acceptabel vejbredde. En enkelt kurve med begrænset oversigt.</t>
  </si>
  <si>
    <t>Pga ungdomcenteret</t>
  </si>
  <si>
    <t>Farligt: Smal vej. Meget begrænset oversigt i flere kurver.</t>
  </si>
  <si>
    <t>Middel: Acceptabel vejbredde.Enkelte kurver med begrænset oversigt.</t>
  </si>
  <si>
    <t>God: Acceptabel vejbredde.2 minus 1 vej med 60 kmt.</t>
  </si>
  <si>
    <t>Middel: Acceptabel vejbredde. Byzone men ingen faciliteter til lette trafikanter.</t>
  </si>
  <si>
    <t xml:space="preserve">Middel: Acceptabel vejbredde. </t>
  </si>
  <si>
    <t>Middel: Cyklister har begrænset plads ift at det er en hovedvej</t>
  </si>
  <si>
    <t>AFVENTER VEJPROJEKT</t>
  </si>
  <si>
    <t>Middel: Cyklister har begrænset plads.</t>
  </si>
  <si>
    <t>Ringe: Cyklister er blandet med parkerede biler, hvilket er uhensigtsmæssigt.</t>
  </si>
  <si>
    <t>https://maps.app.goo.gl/ciGpxENpt9yxvpU39</t>
  </si>
  <si>
    <t>God: Der er cykelbaner i dag.</t>
  </si>
  <si>
    <t>Ringe: Dårlige forhold for lette trafikanter.</t>
  </si>
  <si>
    <t>Ringe: Dårlige belægning for lette trafikanter</t>
  </si>
  <si>
    <t>Tved-Knebelbro</t>
  </si>
  <si>
    <t>Smalt igennem Thorup Gæstgiveri og ved skrænten</t>
  </si>
  <si>
    <t>Peter Søndergaard 05082025</t>
  </si>
  <si>
    <t>4500 i 2019</t>
  </si>
  <si>
    <t>Tællinger viser lavere. Ferietrafik dog høj</t>
  </si>
  <si>
    <t>2025.08.11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</si>
</sst>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0.0"/>
    <numFmt numFmtId="166" formatCode="_(* #,##0_);_(* \(#,##0\);_(* &quot;-&quot;??_);_(@_)"/>
  </numFmts>
  <fonts count="21" x14ac:knownFonts="1">
    <font>
      <sz val="10"/>
      <name val="Arial"/>
    </font>
    <font>
      <sz val="10"/>
      <name val="Arial"/>
      <family val="2"/>
    </font>
    <font>
      <b/>
      <sz val="10"/>
      <name val="Arial"/>
      <family val="2"/>
    </font>
    <font>
      <sz val="8"/>
      <name val="Arial"/>
      <family val="2"/>
    </font>
    <font>
      <b/>
      <sz val="20"/>
      <name val="Arial"/>
      <family val="2"/>
    </font>
    <font>
      <sz val="10"/>
      <name val="Arial"/>
      <family val="2"/>
    </font>
    <font>
      <i/>
      <sz val="10"/>
      <name val="Arial"/>
      <family val="2"/>
    </font>
    <font>
      <sz val="10"/>
      <name val="Arial"/>
      <family val="2"/>
    </font>
    <font>
      <b/>
      <sz val="12"/>
      <name val="Arial"/>
      <family val="2"/>
    </font>
    <font>
      <b/>
      <sz val="10"/>
      <color rgb="FF000000"/>
      <name val="Arial"/>
      <family val="2"/>
    </font>
    <font>
      <sz val="12"/>
      <name val="Aptos"/>
      <family val="2"/>
    </font>
    <font>
      <sz val="10"/>
      <name val="Aptos"/>
      <family val="2"/>
    </font>
    <font>
      <sz val="12"/>
      <name val="Arial"/>
      <family val="2"/>
    </font>
    <font>
      <b/>
      <sz val="11"/>
      <name val="Arial"/>
      <family val="2"/>
    </font>
    <font>
      <sz val="11"/>
      <name val="Arial"/>
      <family val="2"/>
    </font>
    <font>
      <b/>
      <sz val="14"/>
      <name val="Arial"/>
      <family val="2"/>
    </font>
    <font>
      <b/>
      <sz val="10"/>
      <name val="Aptos"/>
      <family val="2"/>
    </font>
    <font>
      <b/>
      <sz val="16"/>
      <name val="Arial"/>
      <family val="2"/>
    </font>
    <font>
      <sz val="18"/>
      <name val="Arial"/>
      <family val="2"/>
    </font>
    <font>
      <sz val="10"/>
      <color rgb="FFFF0000"/>
      <name val="Arial"/>
      <family val="2"/>
    </font>
    <font>
      <u/>
      <sz val="10"/>
      <color theme="10"/>
      <name val="Arial"/>
      <family val="2"/>
    </font>
  </fonts>
  <fills count="15">
    <fill>
      <patternFill patternType="none"/>
    </fill>
    <fill>
      <patternFill patternType="gray125"/>
    </fill>
    <fill>
      <patternFill patternType="darkDown"/>
    </fill>
    <fill>
      <patternFill patternType="solid">
        <fgColor indexed="22"/>
        <bgColor indexed="64"/>
      </patternFill>
    </fill>
    <fill>
      <patternFill patternType="solid">
        <fgColor theme="7" tint="0.79998168889431442"/>
        <bgColor indexed="64"/>
      </patternFill>
    </fill>
    <fill>
      <patternFill patternType="solid">
        <fgColor theme="7" tint="0.59999389629810485"/>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5"/>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rgb="FFC0C0C0"/>
        <bgColor indexed="64"/>
      </patternFill>
    </fill>
    <fill>
      <patternFill patternType="solid">
        <fgColor theme="2" tint="-9.9978637043366805E-2"/>
        <bgColor indexed="64"/>
      </patternFill>
    </fill>
    <fill>
      <patternFill patternType="solid">
        <fgColor theme="5" tint="0.39997558519241921"/>
        <bgColor indexed="64"/>
      </patternFill>
    </fill>
  </fills>
  <borders count="51">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medium">
        <color indexed="64"/>
      </top>
      <bottom/>
      <diagonal/>
    </border>
    <border>
      <left/>
      <right style="medium">
        <color indexed="64"/>
      </right>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style="medium">
        <color indexed="64"/>
      </right>
      <top/>
      <bottom/>
      <diagonal/>
    </border>
    <border>
      <left style="medium">
        <color indexed="64"/>
      </left>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6">
    <xf numFmtId="0" fontId="0" fillId="0" borderId="0"/>
    <xf numFmtId="164" fontId="5" fillId="0" borderId="0" applyFont="0" applyFill="0" applyBorder="0" applyAlignment="0" applyProtection="0"/>
    <xf numFmtId="164" fontId="1" fillId="0" borderId="0" applyFont="0" applyFill="0" applyBorder="0" applyAlignment="0" applyProtection="0"/>
    <xf numFmtId="0" fontId="5" fillId="0" borderId="0"/>
    <xf numFmtId="9" fontId="1" fillId="0" borderId="0" applyFont="0" applyFill="0" applyBorder="0" applyAlignment="0" applyProtection="0"/>
    <xf numFmtId="0" fontId="20" fillId="0" borderId="0" applyNumberFormat="0" applyFill="0" applyBorder="0" applyAlignment="0" applyProtection="0"/>
  </cellStyleXfs>
  <cellXfs count="294">
    <xf numFmtId="0" fontId="0" fillId="0" borderId="0" xfId="0"/>
    <xf numFmtId="0" fontId="0" fillId="0" borderId="0" xfId="0" applyProtection="1">
      <protection locked="0"/>
    </xf>
    <xf numFmtId="0" fontId="0" fillId="0" borderId="0" xfId="0" applyAlignment="1" applyProtection="1">
      <alignment horizontal="left"/>
      <protection locked="0"/>
    </xf>
    <xf numFmtId="2" fontId="0" fillId="0" borderId="0" xfId="0" applyNumberFormat="1" applyProtection="1">
      <protection locked="0"/>
    </xf>
    <xf numFmtId="0" fontId="2" fillId="0" borderId="0" xfId="0" applyFont="1" applyProtection="1">
      <protection locked="0"/>
    </xf>
    <xf numFmtId="0" fontId="1" fillId="0" borderId="0" xfId="0" applyFont="1" applyProtection="1">
      <protection locked="0"/>
    </xf>
    <xf numFmtId="9" fontId="2" fillId="4" borderId="5" xfId="4" applyFont="1" applyFill="1" applyBorder="1" applyAlignment="1" applyProtection="1">
      <alignment horizontal="center"/>
      <protection hidden="1"/>
    </xf>
    <xf numFmtId="0" fontId="0" fillId="4" borderId="11" xfId="0" applyFill="1" applyBorder="1" applyAlignment="1" applyProtection="1">
      <alignment horizontal="left"/>
      <protection hidden="1"/>
    </xf>
    <xf numFmtId="0" fontId="0" fillId="4" borderId="11" xfId="0" applyFill="1" applyBorder="1" applyAlignment="1" applyProtection="1">
      <alignment horizontal="center" vertical="center"/>
      <protection hidden="1"/>
    </xf>
    <xf numFmtId="0" fontId="0" fillId="4" borderId="11" xfId="0" applyFill="1" applyBorder="1" applyAlignment="1" applyProtection="1">
      <alignment horizontal="left" vertical="center"/>
      <protection hidden="1"/>
    </xf>
    <xf numFmtId="2" fontId="0" fillId="4" borderId="11" xfId="0" applyNumberFormat="1" applyFill="1" applyBorder="1" applyAlignment="1" applyProtection="1">
      <alignment horizontal="center" vertical="center"/>
      <protection hidden="1"/>
    </xf>
    <xf numFmtId="2" fontId="0" fillId="5" borderId="12" xfId="0" applyNumberFormat="1" applyFill="1" applyBorder="1" applyAlignment="1" applyProtection="1">
      <alignment horizontal="center" vertical="center"/>
      <protection hidden="1"/>
    </xf>
    <xf numFmtId="0" fontId="0" fillId="4" borderId="11" xfId="0" applyFill="1" applyBorder="1" applyAlignment="1" applyProtection="1">
      <alignment horizontal="center"/>
      <protection hidden="1"/>
    </xf>
    <xf numFmtId="2" fontId="0" fillId="5" borderId="13" xfId="0" applyNumberFormat="1" applyFill="1" applyBorder="1" applyAlignment="1" applyProtection="1">
      <alignment horizontal="right"/>
      <protection hidden="1"/>
    </xf>
    <xf numFmtId="0" fontId="0" fillId="6" borderId="19" xfId="0" applyFill="1" applyBorder="1" applyAlignment="1" applyProtection="1">
      <alignment horizontal="left"/>
      <protection locked="0"/>
    </xf>
    <xf numFmtId="2" fontId="0" fillId="0" borderId="0" xfId="0" applyNumberFormat="1"/>
    <xf numFmtId="0" fontId="2" fillId="0" borderId="0" xfId="0" applyFont="1"/>
    <xf numFmtId="0" fontId="1" fillId="0" borderId="0" xfId="0" applyFont="1"/>
    <xf numFmtId="0" fontId="0" fillId="6" borderId="39" xfId="0" applyFill="1" applyBorder="1" applyAlignment="1" applyProtection="1">
      <alignment horizontal="left" wrapText="1"/>
      <protection locked="0"/>
    </xf>
    <xf numFmtId="0" fontId="0" fillId="6" borderId="19" xfId="0" applyFill="1" applyBorder="1" applyAlignment="1" applyProtection="1">
      <alignment wrapText="1"/>
      <protection locked="0"/>
    </xf>
    <xf numFmtId="0" fontId="0" fillId="6" borderId="22" xfId="0" applyFill="1" applyBorder="1" applyProtection="1">
      <protection locked="0"/>
    </xf>
    <xf numFmtId="0" fontId="1" fillId="0" borderId="0" xfId="0" applyFont="1" applyAlignment="1" applyProtection="1">
      <alignment horizontal="left"/>
      <protection locked="0"/>
    </xf>
    <xf numFmtId="1" fontId="0" fillId="4" borderId="11" xfId="0" applyNumberFormat="1" applyFill="1" applyBorder="1" applyAlignment="1" applyProtection="1">
      <alignment horizontal="center" vertical="center"/>
      <protection hidden="1"/>
    </xf>
    <xf numFmtId="2" fontId="1" fillId="0" borderId="0" xfId="0" quotePrefix="1" applyNumberFormat="1" applyFont="1" applyProtection="1">
      <protection locked="0"/>
    </xf>
    <xf numFmtId="0" fontId="2" fillId="12" borderId="13" xfId="0" applyFont="1" applyFill="1" applyBorder="1"/>
    <xf numFmtId="0" fontId="2" fillId="12" borderId="42" xfId="0" applyFont="1" applyFill="1" applyBorder="1"/>
    <xf numFmtId="0" fontId="0" fillId="12" borderId="11" xfId="0" applyFill="1" applyBorder="1"/>
    <xf numFmtId="0" fontId="0" fillId="0" borderId="11" xfId="0" applyBorder="1"/>
    <xf numFmtId="0" fontId="0" fillId="0" borderId="37" xfId="0" applyBorder="1"/>
    <xf numFmtId="0" fontId="0" fillId="12" borderId="33" xfId="0" applyFill="1" applyBorder="1"/>
    <xf numFmtId="0" fontId="0" fillId="0" borderId="16" xfId="0" applyBorder="1"/>
    <xf numFmtId="0" fontId="8" fillId="8" borderId="15" xfId="0" applyFont="1" applyFill="1" applyBorder="1"/>
    <xf numFmtId="0" fontId="0" fillId="8" borderId="25" xfId="0" applyFill="1" applyBorder="1"/>
    <xf numFmtId="0" fontId="2" fillId="8" borderId="3" xfId="0" applyFont="1" applyFill="1" applyBorder="1"/>
    <xf numFmtId="0" fontId="2" fillId="8" borderId="7" xfId="0" applyFont="1" applyFill="1" applyBorder="1" applyAlignment="1">
      <alignment horizontal="center" vertical="center"/>
    </xf>
    <xf numFmtId="0" fontId="2" fillId="8" borderId="8" xfId="0" applyFont="1" applyFill="1" applyBorder="1"/>
    <xf numFmtId="0" fontId="0" fillId="0" borderId="0" xfId="0" applyAlignment="1">
      <alignment horizontal="left"/>
    </xf>
    <xf numFmtId="0" fontId="1" fillId="0" borderId="34" xfId="0" applyFont="1" applyBorder="1"/>
    <xf numFmtId="0" fontId="1" fillId="0" borderId="18" xfId="0" applyFont="1" applyBorder="1"/>
    <xf numFmtId="0" fontId="10" fillId="0" borderId="0" xfId="0" applyFont="1" applyAlignment="1">
      <alignment vertical="center" wrapText="1"/>
    </xf>
    <xf numFmtId="0" fontId="0" fillId="6" borderId="39" xfId="0" applyFill="1" applyBorder="1" applyAlignment="1" applyProtection="1">
      <alignment horizontal="left"/>
      <protection locked="0"/>
    </xf>
    <xf numFmtId="0" fontId="1" fillId="0" borderId="43" xfId="0" applyFont="1" applyBorder="1"/>
    <xf numFmtId="0" fontId="1" fillId="6" borderId="19" xfId="0" applyFont="1" applyFill="1" applyBorder="1" applyAlignment="1" applyProtection="1">
      <alignment horizontal="center"/>
      <protection locked="0"/>
    </xf>
    <xf numFmtId="2" fontId="0" fillId="0" borderId="0" xfId="0" applyNumberFormat="1" applyAlignment="1">
      <alignment horizontal="center"/>
    </xf>
    <xf numFmtId="0" fontId="0" fillId="0" borderId="0" xfId="0" applyAlignment="1">
      <alignment horizontal="center" vertical="center"/>
    </xf>
    <xf numFmtId="0" fontId="2" fillId="0" borderId="0" xfId="0" applyFont="1" applyAlignment="1" applyProtection="1">
      <alignment horizontal="center"/>
      <protection hidden="1"/>
    </xf>
    <xf numFmtId="2" fontId="2" fillId="0" borderId="0" xfId="0" applyNumberFormat="1" applyFont="1" applyAlignment="1" applyProtection="1">
      <alignment horizontal="center"/>
      <protection hidden="1"/>
    </xf>
    <xf numFmtId="0" fontId="11" fillId="6" borderId="6" xfId="0" applyFont="1" applyFill="1" applyBorder="1" applyAlignment="1">
      <alignment vertical="center" wrapText="1"/>
    </xf>
    <xf numFmtId="0" fontId="11" fillId="6" borderId="23" xfId="0" applyFont="1" applyFill="1" applyBorder="1" applyAlignment="1">
      <alignment vertical="center" wrapText="1"/>
    </xf>
    <xf numFmtId="0" fontId="11" fillId="13" borderId="20" xfId="0" applyFont="1" applyFill="1" applyBorder="1" applyAlignment="1">
      <alignment vertical="center" wrapText="1"/>
    </xf>
    <xf numFmtId="0" fontId="11" fillId="13" borderId="8" xfId="0" applyFont="1" applyFill="1" applyBorder="1" applyAlignment="1">
      <alignment vertical="center" wrapText="1"/>
    </xf>
    <xf numFmtId="0" fontId="11" fillId="13" borderId="7" xfId="0" applyFont="1" applyFill="1" applyBorder="1" applyAlignment="1">
      <alignment vertical="center" wrapText="1"/>
    </xf>
    <xf numFmtId="0" fontId="11" fillId="13" borderId="5" xfId="0" applyFont="1" applyFill="1" applyBorder="1" applyAlignment="1">
      <alignment vertical="center" wrapText="1"/>
    </xf>
    <xf numFmtId="9" fontId="1" fillId="6" borderId="4" xfId="4" applyFont="1" applyFill="1" applyBorder="1" applyAlignment="1" applyProtection="1">
      <alignment horizontal="center"/>
      <protection locked="0"/>
    </xf>
    <xf numFmtId="9" fontId="0" fillId="6" borderId="4" xfId="4" applyFont="1" applyFill="1" applyBorder="1" applyAlignment="1" applyProtection="1">
      <alignment horizontal="center"/>
      <protection locked="0"/>
    </xf>
    <xf numFmtId="9" fontId="2" fillId="4" borderId="4" xfId="4" applyFont="1" applyFill="1" applyBorder="1" applyAlignment="1" applyProtection="1">
      <alignment horizontal="center"/>
      <protection hidden="1"/>
    </xf>
    <xf numFmtId="9" fontId="8" fillId="4" borderId="5" xfId="4" applyFont="1" applyFill="1" applyBorder="1" applyAlignment="1" applyProtection="1">
      <alignment horizontal="center"/>
      <protection hidden="1"/>
    </xf>
    <xf numFmtId="0" fontId="13" fillId="0" borderId="15" xfId="0" applyFont="1" applyBorder="1"/>
    <xf numFmtId="0" fontId="14" fillId="2" borderId="30" xfId="0" applyFont="1" applyFill="1" applyBorder="1"/>
    <xf numFmtId="9" fontId="13" fillId="7" borderId="30" xfId="0" applyNumberFormat="1" applyFont="1" applyFill="1" applyBorder="1" applyAlignment="1" applyProtection="1">
      <alignment horizontal="center" vertical="center"/>
      <protection hidden="1"/>
    </xf>
    <xf numFmtId="2" fontId="13" fillId="7" borderId="5" xfId="0" applyNumberFormat="1" applyFont="1" applyFill="1" applyBorder="1" applyAlignment="1" applyProtection="1">
      <alignment horizontal="center" vertical="center"/>
      <protection hidden="1"/>
    </xf>
    <xf numFmtId="0" fontId="1" fillId="0" borderId="44" xfId="0" applyFont="1" applyBorder="1" applyAlignment="1">
      <alignment wrapText="1"/>
    </xf>
    <xf numFmtId="1" fontId="1" fillId="7" borderId="32" xfId="0" applyNumberFormat="1" applyFont="1" applyFill="1" applyBorder="1" applyAlignment="1" applyProtection="1">
      <alignment horizontal="center" vertical="center"/>
      <protection hidden="1"/>
    </xf>
    <xf numFmtId="2" fontId="1" fillId="7" borderId="40" xfId="0" applyNumberFormat="1" applyFont="1" applyFill="1" applyBorder="1" applyAlignment="1" applyProtection="1">
      <alignment horizontal="center" vertical="center"/>
      <protection hidden="1"/>
    </xf>
    <xf numFmtId="1" fontId="1" fillId="7" borderId="31" xfId="0" applyNumberFormat="1" applyFont="1" applyFill="1" applyBorder="1" applyAlignment="1" applyProtection="1">
      <alignment horizontal="center" vertical="center"/>
      <protection hidden="1"/>
    </xf>
    <xf numFmtId="2" fontId="1" fillId="7" borderId="29" xfId="0" applyNumberFormat="1" applyFont="1" applyFill="1" applyBorder="1" applyAlignment="1" applyProtection="1">
      <alignment horizontal="center" vertical="center"/>
      <protection hidden="1"/>
    </xf>
    <xf numFmtId="1" fontId="1" fillId="7" borderId="31" xfId="0" applyNumberFormat="1" applyFont="1" applyFill="1" applyBorder="1" applyAlignment="1">
      <alignment horizontal="center" vertical="center"/>
    </xf>
    <xf numFmtId="0" fontId="1" fillId="6" borderId="41" xfId="0" applyFont="1" applyFill="1" applyBorder="1" applyAlignment="1" applyProtection="1">
      <alignment horizontal="center"/>
      <protection locked="0"/>
    </xf>
    <xf numFmtId="0" fontId="14" fillId="2" borderId="7" xfId="0" applyFont="1" applyFill="1" applyBorder="1"/>
    <xf numFmtId="2" fontId="13" fillId="7" borderId="8" xfId="0" applyNumberFormat="1" applyFont="1" applyFill="1" applyBorder="1" applyAlignment="1" applyProtection="1">
      <alignment horizontal="center" vertical="center"/>
      <protection hidden="1"/>
    </xf>
    <xf numFmtId="0" fontId="6" fillId="0" borderId="44" xfId="0" applyFont="1" applyBorder="1" applyAlignment="1">
      <alignment wrapText="1"/>
    </xf>
    <xf numFmtId="0" fontId="1" fillId="6" borderId="21" xfId="0" applyFont="1" applyFill="1" applyBorder="1" applyAlignment="1" applyProtection="1">
      <alignment horizontal="center" vertical="center" wrapText="1"/>
      <protection locked="0"/>
    </xf>
    <xf numFmtId="1" fontId="1" fillId="7" borderId="21" xfId="0" applyNumberFormat="1" applyFont="1" applyFill="1" applyBorder="1" applyAlignment="1" applyProtection="1">
      <alignment horizontal="center" vertical="center"/>
      <protection hidden="1"/>
    </xf>
    <xf numFmtId="2" fontId="1" fillId="7" borderId="45" xfId="0" applyNumberFormat="1" applyFont="1" applyFill="1" applyBorder="1" applyAlignment="1" applyProtection="1">
      <alignment horizontal="center" vertical="center"/>
      <protection hidden="1"/>
    </xf>
    <xf numFmtId="0" fontId="1" fillId="6" borderId="31" xfId="0" applyFont="1" applyFill="1" applyBorder="1" applyAlignment="1" applyProtection="1">
      <alignment horizontal="center" vertical="center" wrapText="1"/>
      <protection locked="0"/>
    </xf>
    <xf numFmtId="0" fontId="6" fillId="0" borderId="43" xfId="0" applyFont="1" applyBorder="1"/>
    <xf numFmtId="166" fontId="1" fillId="6" borderId="41" xfId="2" applyNumberFormat="1" applyFont="1" applyFill="1" applyBorder="1" applyAlignment="1" applyProtection="1">
      <alignment horizontal="center" vertical="center" wrapText="1"/>
      <protection locked="0"/>
    </xf>
    <xf numFmtId="1" fontId="1" fillId="7" borderId="41" xfId="0" applyNumberFormat="1" applyFont="1" applyFill="1" applyBorder="1" applyAlignment="1" applyProtection="1">
      <alignment horizontal="center" vertical="center"/>
      <protection hidden="1"/>
    </xf>
    <xf numFmtId="2" fontId="1" fillId="7" borderId="46" xfId="0" applyNumberFormat="1" applyFont="1" applyFill="1" applyBorder="1" applyAlignment="1" applyProtection="1">
      <alignment horizontal="center" vertical="center"/>
      <protection hidden="1"/>
    </xf>
    <xf numFmtId="0" fontId="6" fillId="0" borderId="28" xfId="0" applyFont="1" applyBorder="1"/>
    <xf numFmtId="0" fontId="1" fillId="6" borderId="27" xfId="0" applyFont="1" applyFill="1" applyBorder="1" applyAlignment="1" applyProtection="1">
      <alignment horizontal="center" vertical="center" wrapText="1"/>
      <protection locked="0"/>
    </xf>
    <xf numFmtId="0" fontId="1" fillId="6" borderId="41" xfId="0" applyFont="1" applyFill="1" applyBorder="1" applyAlignment="1" applyProtection="1">
      <alignment horizontal="center" vertical="center" wrapText="1"/>
      <protection locked="0"/>
    </xf>
    <xf numFmtId="0" fontId="14" fillId="0" borderId="15" xfId="0" applyFont="1" applyBorder="1"/>
    <xf numFmtId="0" fontId="14" fillId="0" borderId="26" xfId="0" applyFont="1" applyBorder="1"/>
    <xf numFmtId="0" fontId="14" fillId="0" borderId="26" xfId="0" applyFont="1" applyBorder="1" applyAlignment="1">
      <alignment horizontal="center" vertical="center"/>
    </xf>
    <xf numFmtId="9" fontId="14" fillId="7" borderId="30" xfId="0" applyNumberFormat="1" applyFont="1" applyFill="1" applyBorder="1" applyAlignment="1" applyProtection="1">
      <alignment horizontal="center" vertical="center"/>
      <protection hidden="1"/>
    </xf>
    <xf numFmtId="1" fontId="0" fillId="0" borderId="0" xfId="0" applyNumberFormat="1" applyAlignment="1" applyProtection="1">
      <alignment horizontal="left"/>
      <protection locked="0"/>
    </xf>
    <xf numFmtId="2" fontId="0" fillId="0" borderId="0" xfId="0" quotePrefix="1" applyNumberFormat="1" applyProtection="1">
      <protection locked="0"/>
    </xf>
    <xf numFmtId="0" fontId="1" fillId="0" borderId="0" xfId="0" quotePrefix="1" applyFont="1" applyProtection="1">
      <protection locked="0"/>
    </xf>
    <xf numFmtId="0" fontId="4" fillId="0" borderId="0" xfId="0" applyFont="1"/>
    <xf numFmtId="0" fontId="2" fillId="0" borderId="5" xfId="0" applyFont="1" applyBorder="1" applyAlignment="1">
      <alignment horizontal="center"/>
    </xf>
    <xf numFmtId="0" fontId="2" fillId="0" borderId="0" xfId="0" applyFont="1" applyAlignment="1">
      <alignment horizontal="center"/>
    </xf>
    <xf numFmtId="9" fontId="7" fillId="13" borderId="4" xfId="4" applyFont="1" applyFill="1" applyBorder="1" applyAlignment="1" applyProtection="1">
      <alignment horizontal="center"/>
    </xf>
    <xf numFmtId="14" fontId="0" fillId="0" borderId="0" xfId="0" applyNumberFormat="1"/>
    <xf numFmtId="0" fontId="2" fillId="0" borderId="0" xfId="0" applyFont="1" applyAlignment="1">
      <alignment horizontal="left"/>
    </xf>
    <xf numFmtId="0" fontId="0" fillId="0" borderId="7" xfId="0" applyBorder="1" applyAlignment="1">
      <alignment horizontal="center" vertical="center" wrapText="1"/>
    </xf>
    <xf numFmtId="0" fontId="1" fillId="0" borderId="6" xfId="0" applyFont="1" applyBorder="1" applyAlignment="1">
      <alignment horizontal="center" vertical="center" wrapText="1"/>
    </xf>
    <xf numFmtId="0" fontId="0" fillId="0" borderId="13" xfId="0" applyBorder="1" applyAlignment="1">
      <alignment horizontal="left"/>
    </xf>
    <xf numFmtId="2" fontId="0" fillId="0" borderId="13" xfId="0" applyNumberFormat="1" applyBorder="1" applyAlignment="1">
      <alignment horizontal="right"/>
    </xf>
    <xf numFmtId="2" fontId="0" fillId="0" borderId="14" xfId="0" applyNumberFormat="1" applyBorder="1"/>
    <xf numFmtId="0" fontId="0" fillId="12" borderId="8" xfId="0" applyFill="1" applyBorder="1"/>
    <xf numFmtId="0" fontId="1" fillId="0" borderId="9" xfId="0" applyFont="1" applyBorder="1"/>
    <xf numFmtId="0" fontId="1" fillId="13" borderId="32" xfId="0" applyFont="1" applyFill="1" applyBorder="1" applyAlignment="1">
      <alignment horizontal="center" vertical="center"/>
    </xf>
    <xf numFmtId="0" fontId="1" fillId="13" borderId="31" xfId="0" applyFont="1" applyFill="1" applyBorder="1" applyAlignment="1">
      <alignment horizontal="center" vertical="center"/>
    </xf>
    <xf numFmtId="0" fontId="1" fillId="13" borderId="31" xfId="0" applyFont="1" applyFill="1" applyBorder="1" applyAlignment="1">
      <alignment horizontal="center"/>
    </xf>
    <xf numFmtId="0" fontId="1" fillId="13" borderId="5" xfId="0" applyFont="1" applyFill="1" applyBorder="1"/>
    <xf numFmtId="9" fontId="2" fillId="4" borderId="8" xfId="4" applyFont="1" applyFill="1" applyBorder="1" applyAlignment="1" applyProtection="1">
      <alignment horizontal="center"/>
    </xf>
    <xf numFmtId="0" fontId="0" fillId="0" borderId="9" xfId="0" applyBorder="1" applyAlignment="1">
      <alignment horizontal="left" vertical="center" wrapText="1"/>
    </xf>
    <xf numFmtId="0" fontId="1" fillId="0" borderId="10" xfId="0" applyFont="1" applyBorder="1" applyAlignment="1">
      <alignment horizontal="left" vertical="center" wrapText="1"/>
    </xf>
    <xf numFmtId="0" fontId="11" fillId="0" borderId="0" xfId="0" applyFont="1" applyAlignment="1">
      <alignment vertical="center" wrapText="1"/>
    </xf>
    <xf numFmtId="0" fontId="1" fillId="6" borderId="24" xfId="0" applyFont="1" applyFill="1" applyBorder="1" applyProtection="1">
      <protection locked="0"/>
    </xf>
    <xf numFmtId="0" fontId="11" fillId="0" borderId="0" xfId="0" applyFont="1" applyAlignment="1">
      <alignment horizontal="center" vertical="center" wrapText="1"/>
    </xf>
    <xf numFmtId="0" fontId="1" fillId="0" borderId="0" xfId="0" applyFont="1" applyAlignment="1" applyProtection="1">
      <alignment horizontal="center"/>
      <protection locked="0"/>
    </xf>
    <xf numFmtId="0" fontId="2" fillId="12" borderId="16" xfId="0" applyFont="1" applyFill="1" applyBorder="1" applyAlignment="1">
      <alignment horizontal="center"/>
    </xf>
    <xf numFmtId="0" fontId="2" fillId="12" borderId="17" xfId="0" applyFont="1" applyFill="1" applyBorder="1" applyAlignment="1">
      <alignment horizontal="center"/>
    </xf>
    <xf numFmtId="2" fontId="0" fillId="0" borderId="19" xfId="0" applyNumberFormat="1" applyBorder="1" applyAlignment="1">
      <alignment horizontal="center"/>
    </xf>
    <xf numFmtId="0" fontId="1" fillId="0" borderId="47" xfId="0" applyFont="1" applyBorder="1"/>
    <xf numFmtId="0" fontId="0" fillId="0" borderId="22" xfId="0" applyBorder="1" applyAlignment="1">
      <alignment horizontal="center"/>
    </xf>
    <xf numFmtId="0" fontId="2" fillId="12" borderId="48" xfId="0" applyFont="1" applyFill="1" applyBorder="1" applyAlignment="1">
      <alignment horizontal="left"/>
    </xf>
    <xf numFmtId="165" fontId="0" fillId="0" borderId="29" xfId="0" applyNumberFormat="1" applyBorder="1" applyAlignment="1">
      <alignment horizontal="center"/>
    </xf>
    <xf numFmtId="2" fontId="0" fillId="0" borderId="29" xfId="0" applyNumberFormat="1" applyBorder="1" applyAlignment="1">
      <alignment horizontal="center"/>
    </xf>
    <xf numFmtId="2" fontId="0" fillId="0" borderId="46" xfId="0" applyNumberFormat="1" applyBorder="1" applyAlignment="1">
      <alignment horizontal="center"/>
    </xf>
    <xf numFmtId="0" fontId="1" fillId="0" borderId="44" xfId="0" applyFont="1" applyBorder="1"/>
    <xf numFmtId="0" fontId="1" fillId="6" borderId="39" xfId="0" applyFont="1" applyFill="1" applyBorder="1" applyAlignment="1" applyProtection="1">
      <alignment horizontal="center" vertical="center"/>
      <protection locked="0"/>
    </xf>
    <xf numFmtId="0" fontId="0" fillId="12" borderId="5" xfId="0" applyFill="1" applyBorder="1"/>
    <xf numFmtId="0" fontId="0" fillId="0" borderId="47" xfId="0" applyBorder="1"/>
    <xf numFmtId="0" fontId="13" fillId="0" borderId="15" xfId="0" applyFont="1" applyBorder="1" applyAlignment="1">
      <alignment wrapText="1"/>
    </xf>
    <xf numFmtId="1" fontId="1" fillId="7" borderId="44" xfId="0" applyNumberFormat="1" applyFont="1" applyFill="1" applyBorder="1" applyAlignment="1" applyProtection="1">
      <alignment horizontal="center" vertical="center"/>
      <protection hidden="1"/>
    </xf>
    <xf numFmtId="1" fontId="1" fillId="7" borderId="43" xfId="0" applyNumberFormat="1" applyFont="1" applyFill="1" applyBorder="1" applyAlignment="1" applyProtection="1">
      <alignment horizontal="center" vertical="center"/>
      <protection hidden="1"/>
    </xf>
    <xf numFmtId="1" fontId="1" fillId="7" borderId="9" xfId="0" applyNumberFormat="1" applyFont="1" applyFill="1" applyBorder="1" applyAlignment="1" applyProtection="1">
      <alignment horizontal="center" vertical="center"/>
      <protection hidden="1"/>
    </xf>
    <xf numFmtId="2" fontId="1" fillId="7" borderId="21" xfId="0" applyNumberFormat="1" applyFont="1" applyFill="1" applyBorder="1" applyAlignment="1" applyProtection="1">
      <alignment horizontal="center" vertical="center"/>
      <protection hidden="1"/>
    </xf>
    <xf numFmtId="2" fontId="1" fillId="7" borderId="31" xfId="0" applyNumberFormat="1" applyFont="1" applyFill="1" applyBorder="1" applyAlignment="1" applyProtection="1">
      <alignment horizontal="center" vertical="center"/>
      <protection hidden="1"/>
    </xf>
    <xf numFmtId="2" fontId="13" fillId="7" borderId="41" xfId="0" applyNumberFormat="1" applyFont="1" applyFill="1" applyBorder="1" applyAlignment="1" applyProtection="1">
      <alignment horizontal="center"/>
      <protection hidden="1"/>
    </xf>
    <xf numFmtId="0" fontId="15" fillId="3" borderId="15" xfId="0" applyFont="1" applyFill="1" applyBorder="1" applyAlignment="1">
      <alignment vertical="center"/>
    </xf>
    <xf numFmtId="0" fontId="2" fillId="3" borderId="20" xfId="0" applyFont="1" applyFill="1" applyBorder="1"/>
    <xf numFmtId="0" fontId="2" fillId="13" borderId="15" xfId="0" applyFont="1" applyFill="1" applyBorder="1" applyAlignment="1">
      <alignment vertical="center" wrapText="1"/>
    </xf>
    <xf numFmtId="0" fontId="16" fillId="13" borderId="15" xfId="0" applyFont="1" applyFill="1" applyBorder="1" applyAlignment="1">
      <alignment vertical="center" wrapText="1"/>
    </xf>
    <xf numFmtId="0" fontId="17" fillId="0" borderId="0" xfId="0" applyFont="1" applyProtection="1">
      <protection locked="0"/>
    </xf>
    <xf numFmtId="0" fontId="18" fillId="6" borderId="17" xfId="0" applyFont="1" applyFill="1" applyBorder="1" applyAlignment="1" applyProtection="1">
      <alignment wrapText="1"/>
      <protection locked="0"/>
    </xf>
    <xf numFmtId="0" fontId="0" fillId="0" borderId="49" xfId="0" applyBorder="1" applyAlignment="1">
      <alignment horizontal="left" vertical="top" wrapText="1"/>
    </xf>
    <xf numFmtId="0" fontId="2" fillId="6" borderId="28" xfId="0" applyFont="1" applyFill="1" applyBorder="1" applyProtection="1">
      <protection locked="0"/>
    </xf>
    <xf numFmtId="0" fontId="0" fillId="6" borderId="0" xfId="0" applyFill="1" applyProtection="1">
      <protection locked="0"/>
    </xf>
    <xf numFmtId="0" fontId="2" fillId="7" borderId="15" xfId="0" applyFont="1" applyFill="1" applyBorder="1"/>
    <xf numFmtId="0" fontId="1" fillId="7" borderId="25" xfId="0" applyFont="1" applyFill="1" applyBorder="1"/>
    <xf numFmtId="0" fontId="1" fillId="7" borderId="5" xfId="0" applyFont="1" applyFill="1" applyBorder="1"/>
    <xf numFmtId="0" fontId="0" fillId="7" borderId="4" xfId="0" applyFill="1" applyBorder="1"/>
    <xf numFmtId="0" fontId="0" fillId="7" borderId="23" xfId="0" applyFill="1" applyBorder="1"/>
    <xf numFmtId="0" fontId="2" fillId="7" borderId="28" xfId="0" applyFont="1" applyFill="1" applyBorder="1"/>
    <xf numFmtId="0" fontId="0" fillId="7" borderId="0" xfId="0" applyFill="1"/>
    <xf numFmtId="0" fontId="2" fillId="7" borderId="24" xfId="0" applyFont="1" applyFill="1" applyBorder="1"/>
    <xf numFmtId="0" fontId="0" fillId="7" borderId="26" xfId="0" applyFill="1" applyBorder="1"/>
    <xf numFmtId="0" fontId="0" fillId="0" borderId="0" xfId="0" applyAlignment="1" applyProtection="1">
      <alignment wrapText="1"/>
      <protection locked="0"/>
    </xf>
    <xf numFmtId="0" fontId="0" fillId="0" borderId="0" xfId="0" applyAlignment="1" applyProtection="1">
      <alignment horizontal="left" wrapText="1"/>
      <protection locked="0"/>
    </xf>
    <xf numFmtId="0" fontId="1" fillId="0" borderId="0" xfId="0" applyFont="1" applyAlignment="1" applyProtection="1">
      <alignment wrapText="1"/>
      <protection locked="0"/>
    </xf>
    <xf numFmtId="0" fontId="1" fillId="6" borderId="28" xfId="0" applyFont="1" applyFill="1" applyBorder="1" applyProtection="1">
      <protection locked="0"/>
    </xf>
    <xf numFmtId="0" fontId="11" fillId="6" borderId="27" xfId="0" applyFont="1" applyFill="1" applyBorder="1" applyAlignment="1">
      <alignment vertical="center" wrapText="1"/>
    </xf>
    <xf numFmtId="0" fontId="11" fillId="6" borderId="4" xfId="0" applyFont="1" applyFill="1" applyBorder="1" applyAlignment="1">
      <alignment vertical="center" wrapText="1"/>
    </xf>
    <xf numFmtId="16" fontId="11" fillId="6" borderId="27" xfId="0" applyNumberFormat="1" applyFont="1" applyFill="1" applyBorder="1" applyAlignment="1">
      <alignment vertical="center" wrapText="1"/>
    </xf>
    <xf numFmtId="0" fontId="19" fillId="0" borderId="0" xfId="0" applyFont="1" applyProtection="1">
      <protection locked="0"/>
    </xf>
    <xf numFmtId="0" fontId="0" fillId="4" borderId="0" xfId="0" applyFill="1"/>
    <xf numFmtId="0" fontId="0" fillId="12" borderId="4" xfId="0" applyFill="1" applyBorder="1"/>
    <xf numFmtId="0" fontId="20" fillId="0" borderId="0" xfId="5" applyAlignment="1" applyProtection="1">
      <alignment wrapText="1"/>
      <protection locked="0"/>
    </xf>
    <xf numFmtId="0" fontId="1" fillId="6" borderId="39" xfId="0" applyFont="1" applyFill="1" applyBorder="1" applyAlignment="1" applyProtection="1">
      <alignment horizontal="left" wrapText="1"/>
      <protection locked="0"/>
    </xf>
    <xf numFmtId="0" fontId="1" fillId="6" borderId="19" xfId="0" applyFont="1" applyFill="1" applyBorder="1" applyAlignment="1" applyProtection="1">
      <alignment wrapText="1"/>
      <protection locked="0"/>
    </xf>
    <xf numFmtId="0" fontId="20" fillId="0" borderId="0" xfId="5" applyAlignment="1" applyProtection="1">
      <alignment horizontal="left" wrapText="1"/>
      <protection locked="0"/>
    </xf>
    <xf numFmtId="0" fontId="0" fillId="9" borderId="0" xfId="0" applyFill="1"/>
    <xf numFmtId="0" fontId="2" fillId="9" borderId="0" xfId="0" applyFont="1" applyFill="1"/>
    <xf numFmtId="0" fontId="1" fillId="9" borderId="0" xfId="0" applyFont="1" applyFill="1"/>
    <xf numFmtId="0" fontId="1" fillId="12" borderId="38" xfId="0" quotePrefix="1" applyFont="1" applyFill="1" applyBorder="1" applyAlignment="1">
      <alignment horizontal="right"/>
    </xf>
    <xf numFmtId="0" fontId="1" fillId="12" borderId="37" xfId="0" applyFont="1" applyFill="1" applyBorder="1" applyAlignment="1">
      <alignment horizontal="right"/>
    </xf>
    <xf numFmtId="0" fontId="2" fillId="4" borderId="0" xfId="0" applyFont="1" applyFill="1"/>
    <xf numFmtId="0" fontId="1" fillId="4" borderId="0" xfId="0" applyFont="1" applyFill="1"/>
    <xf numFmtId="2" fontId="0" fillId="4" borderId="0" xfId="0" applyNumberFormat="1" applyFill="1"/>
    <xf numFmtId="0" fontId="2" fillId="10" borderId="0" xfId="0" applyFont="1" applyFill="1"/>
    <xf numFmtId="0" fontId="0" fillId="10" borderId="0" xfId="0" applyFill="1"/>
    <xf numFmtId="0" fontId="1" fillId="10" borderId="0" xfId="0" applyFont="1" applyFill="1"/>
    <xf numFmtId="0" fontId="2" fillId="11" borderId="0" xfId="0" applyFont="1" applyFill="1"/>
    <xf numFmtId="0" fontId="0" fillId="11" borderId="0" xfId="0" applyFill="1"/>
    <xf numFmtId="0" fontId="1" fillId="11" borderId="0" xfId="0" applyFont="1" applyFill="1"/>
    <xf numFmtId="0" fontId="12" fillId="0" borderId="30" xfId="0" applyFont="1" applyBorder="1" applyAlignment="1">
      <alignment horizontal="right"/>
    </xf>
    <xf numFmtId="0" fontId="8" fillId="0" borderId="25" xfId="0" applyFont="1" applyBorder="1"/>
    <xf numFmtId="0" fontId="8" fillId="0" borderId="5" xfId="0" applyFont="1" applyBorder="1" applyAlignment="1">
      <alignment horizontal="center"/>
    </xf>
    <xf numFmtId="0" fontId="2" fillId="0" borderId="27" xfId="0" applyFont="1" applyBorder="1" applyAlignment="1">
      <alignment horizontal="right"/>
    </xf>
    <xf numFmtId="0" fontId="0" fillId="0" borderId="27" xfId="0" applyBorder="1" applyAlignment="1">
      <alignment horizontal="right"/>
    </xf>
    <xf numFmtId="0" fontId="2" fillId="9" borderId="35" xfId="0" applyFont="1" applyFill="1" applyBorder="1"/>
    <xf numFmtId="0" fontId="2" fillId="4" borderId="11" xfId="0" applyFont="1" applyFill="1" applyBorder="1"/>
    <xf numFmtId="0" fontId="2" fillId="14" borderId="33" xfId="0" applyFont="1" applyFill="1" applyBorder="1"/>
    <xf numFmtId="0" fontId="2" fillId="0" borderId="7" xfId="0" applyFont="1" applyBorder="1" applyAlignment="1">
      <alignment horizontal="right"/>
    </xf>
    <xf numFmtId="0" fontId="0" fillId="0" borderId="6" xfId="0" applyBorder="1" applyAlignment="1">
      <alignment horizontal="right"/>
    </xf>
    <xf numFmtId="0" fontId="8" fillId="0" borderId="15" xfId="0" applyFont="1" applyBorder="1"/>
    <xf numFmtId="0" fontId="2" fillId="9" borderId="36" xfId="0" applyFont="1" applyFill="1" applyBorder="1"/>
    <xf numFmtId="0" fontId="2" fillId="4" borderId="35" xfId="0" applyFont="1" applyFill="1" applyBorder="1"/>
    <xf numFmtId="0" fontId="2" fillId="4" borderId="36" xfId="0" applyFont="1" applyFill="1" applyBorder="1"/>
    <xf numFmtId="0" fontId="2" fillId="10" borderId="35" xfId="0" applyFont="1" applyFill="1" applyBorder="1"/>
    <xf numFmtId="0" fontId="2" fillId="10" borderId="36" xfId="0" applyFont="1" applyFill="1" applyBorder="1"/>
    <xf numFmtId="0" fontId="2" fillId="11" borderId="35" xfId="0" applyFont="1" applyFill="1" applyBorder="1"/>
    <xf numFmtId="0" fontId="2" fillId="11" borderId="36" xfId="0" applyFont="1" applyFill="1" applyBorder="1"/>
    <xf numFmtId="0" fontId="2" fillId="9" borderId="33" xfId="0" applyFont="1" applyFill="1" applyBorder="1"/>
    <xf numFmtId="0" fontId="2" fillId="9" borderId="38" xfId="0" applyFont="1" applyFill="1" applyBorder="1"/>
    <xf numFmtId="0" fontId="2" fillId="4" borderId="33" xfId="0" applyFont="1" applyFill="1" applyBorder="1"/>
    <xf numFmtId="0" fontId="2" fillId="4" borderId="38" xfId="0" applyFont="1" applyFill="1" applyBorder="1"/>
    <xf numFmtId="0" fontId="2" fillId="10" borderId="33" xfId="0" applyFont="1" applyFill="1" applyBorder="1"/>
    <xf numFmtId="0" fontId="2" fillId="10" borderId="38" xfId="0" applyFont="1" applyFill="1" applyBorder="1"/>
    <xf numFmtId="0" fontId="2" fillId="11" borderId="33" xfId="0" applyFont="1" applyFill="1" applyBorder="1"/>
    <xf numFmtId="0" fontId="2" fillId="11" borderId="38" xfId="0" applyFont="1" applyFill="1" applyBorder="1"/>
    <xf numFmtId="0" fontId="0" fillId="9" borderId="11" xfId="0" applyFill="1" applyBorder="1"/>
    <xf numFmtId="2" fontId="0" fillId="9" borderId="37" xfId="0" applyNumberFormat="1" applyFill="1" applyBorder="1"/>
    <xf numFmtId="0" fontId="0" fillId="4" borderId="35" xfId="0" applyFill="1" applyBorder="1"/>
    <xf numFmtId="2" fontId="0" fillId="4" borderId="36" xfId="0" applyNumberFormat="1" applyFill="1" applyBorder="1"/>
    <xf numFmtId="0" fontId="0" fillId="10" borderId="35" xfId="0" applyFill="1" applyBorder="1"/>
    <xf numFmtId="2" fontId="0" fillId="10" borderId="36" xfId="0" applyNumberFormat="1" applyFill="1" applyBorder="1"/>
    <xf numFmtId="0" fontId="0" fillId="11" borderId="35" xfId="0" applyFill="1" applyBorder="1"/>
    <xf numFmtId="2" fontId="0" fillId="11" borderId="36" xfId="0" applyNumberFormat="1" applyFill="1" applyBorder="1"/>
    <xf numFmtId="0" fontId="0" fillId="4" borderId="11" xfId="0" applyFill="1" applyBorder="1"/>
    <xf numFmtId="2" fontId="0" fillId="4" borderId="37" xfId="0" applyNumberFormat="1" applyFill="1" applyBorder="1"/>
    <xf numFmtId="0" fontId="0" fillId="10" borderId="11" xfId="0" applyFill="1" applyBorder="1"/>
    <xf numFmtId="2" fontId="0" fillId="10" borderId="37" xfId="0" applyNumberFormat="1" applyFill="1" applyBorder="1"/>
    <xf numFmtId="0" fontId="0" fillId="11" borderId="11" xfId="0" applyFill="1" applyBorder="1"/>
    <xf numFmtId="2" fontId="0" fillId="11" borderId="37" xfId="0" applyNumberFormat="1" applyFill="1" applyBorder="1"/>
    <xf numFmtId="0" fontId="1" fillId="9" borderId="11" xfId="0" applyFont="1" applyFill="1" applyBorder="1"/>
    <xf numFmtId="2" fontId="1" fillId="9" borderId="37" xfId="0" applyNumberFormat="1" applyFont="1" applyFill="1" applyBorder="1"/>
    <xf numFmtId="0" fontId="1" fillId="4" borderId="11" xfId="0" applyFont="1" applyFill="1" applyBorder="1"/>
    <xf numFmtId="2" fontId="1" fillId="4" borderId="37" xfId="0" applyNumberFormat="1" applyFont="1" applyFill="1" applyBorder="1"/>
    <xf numFmtId="0" fontId="1" fillId="10" borderId="11" xfId="0" applyFont="1" applyFill="1" applyBorder="1"/>
    <xf numFmtId="2" fontId="1" fillId="10" borderId="37" xfId="0" applyNumberFormat="1" applyFont="1" applyFill="1" applyBorder="1"/>
    <xf numFmtId="0" fontId="1" fillId="11" borderId="11" xfId="0" applyFont="1" applyFill="1" applyBorder="1"/>
    <xf numFmtId="2" fontId="1" fillId="11" borderId="37" xfId="0" applyNumberFormat="1" applyFont="1" applyFill="1" applyBorder="1"/>
    <xf numFmtId="0" fontId="0" fillId="9" borderId="33" xfId="0" applyFill="1" applyBorder="1"/>
    <xf numFmtId="2" fontId="0" fillId="9" borderId="38" xfId="0" applyNumberFormat="1" applyFill="1" applyBorder="1"/>
    <xf numFmtId="0" fontId="0" fillId="4" borderId="33" xfId="0" applyFill="1" applyBorder="1"/>
    <xf numFmtId="2" fontId="0" fillId="4" borderId="38" xfId="0" applyNumberFormat="1" applyFill="1" applyBorder="1"/>
    <xf numFmtId="0" fontId="0" fillId="10" borderId="33" xfId="0" applyFill="1" applyBorder="1"/>
    <xf numFmtId="2" fontId="0" fillId="10" borderId="38" xfId="0" applyNumberFormat="1" applyFill="1" applyBorder="1"/>
    <xf numFmtId="0" fontId="0" fillId="11" borderId="33" xfId="0" applyFill="1" applyBorder="1"/>
    <xf numFmtId="2" fontId="0" fillId="11" borderId="38" xfId="0" applyNumberFormat="1" applyFill="1" applyBorder="1"/>
    <xf numFmtId="2" fontId="2" fillId="6" borderId="36" xfId="0" applyNumberFormat="1" applyFont="1" applyFill="1" applyBorder="1" applyProtection="1">
      <protection locked="0"/>
    </xf>
    <xf numFmtId="2" fontId="2" fillId="6" borderId="37" xfId="0" applyNumberFormat="1" applyFont="1" applyFill="1" applyBorder="1" applyProtection="1">
      <protection locked="0"/>
    </xf>
    <xf numFmtId="2" fontId="2" fillId="6" borderId="38" xfId="0" applyNumberFormat="1" applyFont="1" applyFill="1" applyBorder="1" applyProtection="1">
      <protection locked="0"/>
    </xf>
    <xf numFmtId="9" fontId="1" fillId="6" borderId="4" xfId="4" applyFont="1" applyFill="1" applyBorder="1" applyAlignment="1" applyProtection="1">
      <alignment horizontal="center"/>
      <protection locked="0" hidden="1"/>
    </xf>
    <xf numFmtId="9" fontId="1" fillId="6" borderId="23" xfId="4" applyFont="1" applyFill="1" applyBorder="1" applyAlignment="1" applyProtection="1">
      <alignment horizontal="center"/>
      <protection locked="0" hidden="1"/>
    </xf>
    <xf numFmtId="0" fontId="1" fillId="0" borderId="28" xfId="0" applyFont="1" applyBorder="1" applyAlignment="1">
      <alignment horizontal="left" indent="1"/>
    </xf>
    <xf numFmtId="0" fontId="1" fillId="0" borderId="0" xfId="0" applyFont="1" applyAlignment="1">
      <alignment horizontal="left" indent="1"/>
    </xf>
    <xf numFmtId="0" fontId="1" fillId="0" borderId="24" xfId="0" applyFont="1" applyBorder="1" applyAlignment="1">
      <alignment horizontal="left" indent="1"/>
    </xf>
    <xf numFmtId="0" fontId="1" fillId="0" borderId="26" xfId="0" applyFont="1" applyBorder="1" applyAlignment="1">
      <alignment horizontal="left" indent="1"/>
    </xf>
    <xf numFmtId="0" fontId="2" fillId="0" borderId="20" xfId="0" applyFont="1" applyBorder="1" applyAlignment="1">
      <alignment horizontal="left"/>
    </xf>
    <xf numFmtId="0" fontId="2" fillId="0" borderId="3" xfId="0" applyFont="1" applyBorder="1" applyAlignment="1">
      <alignment horizontal="left"/>
    </xf>
    <xf numFmtId="0" fontId="2" fillId="0" borderId="28" xfId="0" applyFont="1" applyBorder="1" applyAlignment="1">
      <alignment horizontal="left"/>
    </xf>
    <xf numFmtId="0" fontId="2" fillId="0" borderId="0" xfId="0" applyFont="1" applyAlignment="1">
      <alignment horizontal="left"/>
    </xf>
    <xf numFmtId="0" fontId="0" fillId="0" borderId="28" xfId="0" applyBorder="1" applyAlignment="1">
      <alignment horizontal="left" indent="1"/>
    </xf>
    <xf numFmtId="0" fontId="0" fillId="0" borderId="0" xfId="0" applyAlignment="1">
      <alignment horizontal="left" indent="1"/>
    </xf>
    <xf numFmtId="0" fontId="1" fillId="6" borderId="28" xfId="0" applyFont="1" applyFill="1" applyBorder="1" applyAlignment="1">
      <alignment horizontal="left" vertical="top" wrapText="1"/>
    </xf>
    <xf numFmtId="0" fontId="1" fillId="6" borderId="0" xfId="0" applyFont="1" applyFill="1" applyAlignment="1">
      <alignment horizontal="left" vertical="top" wrapText="1"/>
    </xf>
    <xf numFmtId="0" fontId="1" fillId="6" borderId="4" xfId="0" applyFont="1" applyFill="1" applyBorder="1" applyAlignment="1">
      <alignment horizontal="left" vertical="top" wrapText="1"/>
    </xf>
    <xf numFmtId="0" fontId="1" fillId="6" borderId="24" xfId="0" applyFont="1" applyFill="1" applyBorder="1" applyAlignment="1">
      <alignment horizontal="left" vertical="top" wrapText="1"/>
    </xf>
    <xf numFmtId="0" fontId="1" fillId="6" borderId="26" xfId="0" applyFont="1" applyFill="1" applyBorder="1" applyAlignment="1">
      <alignment horizontal="left" vertical="top" wrapText="1"/>
    </xf>
    <xf numFmtId="0" fontId="1" fillId="6" borderId="23" xfId="0" applyFont="1" applyFill="1" applyBorder="1" applyAlignment="1">
      <alignment horizontal="left" vertical="top" wrapText="1"/>
    </xf>
    <xf numFmtId="0" fontId="13" fillId="12" borderId="15" xfId="0" applyFont="1" applyFill="1" applyBorder="1" applyAlignment="1">
      <alignment horizontal="center"/>
    </xf>
    <xf numFmtId="0" fontId="13" fillId="12" borderId="25" xfId="0" applyFont="1" applyFill="1" applyBorder="1" applyAlignment="1">
      <alignment horizontal="center"/>
    </xf>
    <xf numFmtId="0" fontId="13" fillId="12" borderId="5" xfId="0" applyFont="1" applyFill="1" applyBorder="1" applyAlignment="1">
      <alignment horizontal="center"/>
    </xf>
    <xf numFmtId="0" fontId="0" fillId="6" borderId="50" xfId="0" applyFill="1" applyBorder="1" applyAlignment="1" applyProtection="1">
      <alignment horizontal="center"/>
      <protection locked="0"/>
    </xf>
    <xf numFmtId="0" fontId="0" fillId="6" borderId="5" xfId="0" applyFill="1" applyBorder="1" applyAlignment="1" applyProtection="1">
      <alignment horizontal="center"/>
      <protection locked="0"/>
    </xf>
    <xf numFmtId="0" fontId="1" fillId="6" borderId="20" xfId="0" applyFont="1" applyFill="1" applyBorder="1" applyAlignment="1" applyProtection="1">
      <alignment horizontal="left" vertical="top" wrapText="1"/>
      <protection locked="0"/>
    </xf>
    <xf numFmtId="0" fontId="1" fillId="6" borderId="8" xfId="0" applyFont="1" applyFill="1" applyBorder="1" applyAlignment="1" applyProtection="1">
      <alignment horizontal="left" vertical="top" wrapText="1"/>
      <protection locked="0"/>
    </xf>
    <xf numFmtId="0" fontId="1" fillId="6" borderId="28" xfId="0" applyFont="1" applyFill="1" applyBorder="1" applyAlignment="1" applyProtection="1">
      <alignment horizontal="left" vertical="top" wrapText="1"/>
      <protection locked="0"/>
    </xf>
    <xf numFmtId="0" fontId="1" fillId="6" borderId="4" xfId="0" applyFont="1" applyFill="1" applyBorder="1" applyAlignment="1" applyProtection="1">
      <alignment horizontal="left" vertical="top" wrapText="1"/>
      <protection locked="0"/>
    </xf>
    <xf numFmtId="0" fontId="1" fillId="6" borderId="24" xfId="0" applyFont="1" applyFill="1" applyBorder="1" applyAlignment="1" applyProtection="1">
      <alignment horizontal="left" vertical="top" wrapText="1"/>
      <protection locked="0"/>
    </xf>
    <xf numFmtId="0" fontId="1" fillId="6" borderId="23" xfId="0" applyFont="1" applyFill="1" applyBorder="1" applyAlignment="1" applyProtection="1">
      <alignment horizontal="left" vertical="top" wrapText="1"/>
      <protection locked="0"/>
    </xf>
    <xf numFmtId="0" fontId="1" fillId="6" borderId="20" xfId="0" applyFont="1" applyFill="1" applyBorder="1" applyAlignment="1" applyProtection="1">
      <alignment horizontal="left" vertical="top"/>
      <protection locked="0"/>
    </xf>
    <xf numFmtId="0" fontId="1" fillId="6" borderId="8" xfId="0" applyFont="1" applyFill="1" applyBorder="1" applyAlignment="1" applyProtection="1">
      <alignment horizontal="left" vertical="top"/>
      <protection locked="0"/>
    </xf>
    <xf numFmtId="0" fontId="1" fillId="6" borderId="28" xfId="0" applyFont="1" applyFill="1" applyBorder="1" applyAlignment="1" applyProtection="1">
      <alignment horizontal="left" vertical="top"/>
      <protection locked="0"/>
    </xf>
    <xf numFmtId="0" fontId="1" fillId="6" borderId="4" xfId="0" applyFont="1" applyFill="1" applyBorder="1" applyAlignment="1" applyProtection="1">
      <alignment horizontal="left" vertical="top"/>
      <protection locked="0"/>
    </xf>
    <xf numFmtId="0" fontId="1" fillId="6" borderId="24" xfId="0" applyFont="1" applyFill="1" applyBorder="1" applyAlignment="1" applyProtection="1">
      <alignment horizontal="left" vertical="top"/>
      <protection locked="0"/>
    </xf>
    <xf numFmtId="0" fontId="1" fillId="6" borderId="23" xfId="0" applyFont="1" applyFill="1" applyBorder="1" applyAlignment="1" applyProtection="1">
      <alignment horizontal="left" vertical="top"/>
      <protection locked="0"/>
    </xf>
    <xf numFmtId="0" fontId="0" fillId="0" borderId="7" xfId="0" applyBorder="1" applyAlignment="1">
      <alignment horizontal="center" vertical="center" wrapText="1"/>
    </xf>
    <xf numFmtId="0" fontId="0" fillId="0" borderId="6" xfId="0" applyBorder="1" applyAlignment="1">
      <alignment horizontal="center" vertical="center" wrapText="1"/>
    </xf>
    <xf numFmtId="0" fontId="2" fillId="0" borderId="15" xfId="0" applyFont="1" applyBorder="1" applyAlignment="1">
      <alignment horizontal="left"/>
    </xf>
    <xf numFmtId="0" fontId="2" fillId="0" borderId="25" xfId="0" applyFont="1" applyBorder="1" applyAlignment="1">
      <alignment horizontal="left"/>
    </xf>
    <xf numFmtId="0" fontId="0" fillId="0" borderId="28" xfId="0" applyBorder="1" applyAlignment="1">
      <alignment horizontal="left"/>
    </xf>
    <xf numFmtId="0" fontId="0" fillId="0" borderId="0" xfId="0" applyAlignment="1">
      <alignment horizontal="left"/>
    </xf>
    <xf numFmtId="0" fontId="1" fillId="0" borderId="28" xfId="0" applyFont="1" applyBorder="1" applyAlignment="1">
      <alignment horizontal="left"/>
    </xf>
    <xf numFmtId="0" fontId="2" fillId="0" borderId="1" xfId="0" applyFont="1" applyBorder="1" applyAlignment="1">
      <alignment horizontal="center"/>
    </xf>
    <xf numFmtId="0" fontId="2" fillId="0" borderId="2" xfId="0" applyFont="1" applyBorder="1" applyAlignment="1">
      <alignment horizontal="center"/>
    </xf>
    <xf numFmtId="0" fontId="2" fillId="0" borderId="7" xfId="0" applyFont="1" applyBorder="1" applyAlignment="1">
      <alignment horizontal="center" vertical="center" wrapText="1"/>
    </xf>
    <xf numFmtId="0" fontId="2" fillId="0" borderId="6" xfId="0" applyFont="1" applyBorder="1" applyAlignment="1">
      <alignment horizontal="center" vertical="center" wrapText="1"/>
    </xf>
    <xf numFmtId="0" fontId="1" fillId="6" borderId="50" xfId="0" applyFont="1" applyFill="1" applyBorder="1" applyAlignment="1" applyProtection="1">
      <alignment horizontal="center"/>
      <protection locked="0"/>
    </xf>
    <xf numFmtId="0" fontId="1" fillId="6" borderId="20" xfId="0" applyFont="1" applyFill="1" applyBorder="1" applyAlignment="1">
      <alignment horizontal="left" vertical="top" wrapText="1"/>
    </xf>
    <xf numFmtId="0" fontId="1" fillId="6" borderId="8" xfId="0" applyFont="1" applyFill="1" applyBorder="1" applyAlignment="1">
      <alignment horizontal="left" vertical="top" wrapText="1"/>
    </xf>
    <xf numFmtId="0" fontId="19" fillId="6" borderId="20" xfId="0" applyFont="1" applyFill="1" applyBorder="1" applyAlignment="1" applyProtection="1">
      <alignment horizontal="left" vertical="top"/>
      <protection locked="0"/>
    </xf>
    <xf numFmtId="0" fontId="19" fillId="6" borderId="20" xfId="0" applyFont="1" applyFill="1" applyBorder="1" applyAlignment="1" applyProtection="1">
      <alignment horizontal="left" vertical="top" wrapText="1"/>
      <protection locked="0"/>
    </xf>
    <xf numFmtId="0" fontId="19" fillId="6" borderId="8" xfId="0" applyFont="1" applyFill="1" applyBorder="1" applyAlignment="1" applyProtection="1">
      <alignment horizontal="left" vertical="top" wrapText="1"/>
      <protection locked="0"/>
    </xf>
    <xf numFmtId="0" fontId="19" fillId="6" borderId="28" xfId="0" applyFont="1" applyFill="1" applyBorder="1" applyAlignment="1" applyProtection="1">
      <alignment horizontal="left" vertical="top" wrapText="1"/>
      <protection locked="0"/>
    </xf>
    <xf numFmtId="0" fontId="19" fillId="6" borderId="4" xfId="0" applyFont="1" applyFill="1" applyBorder="1" applyAlignment="1" applyProtection="1">
      <alignment horizontal="left" vertical="top" wrapText="1"/>
      <protection locked="0"/>
    </xf>
    <xf numFmtId="0" fontId="19" fillId="6" borderId="24" xfId="0" applyFont="1" applyFill="1" applyBorder="1" applyAlignment="1" applyProtection="1">
      <alignment horizontal="left" vertical="top" wrapText="1"/>
      <protection locked="0"/>
    </xf>
    <xf numFmtId="0" fontId="19" fillId="6" borderId="23" xfId="0" applyFont="1" applyFill="1" applyBorder="1" applyAlignment="1" applyProtection="1">
      <alignment horizontal="left" vertical="top" wrapText="1"/>
      <protection locked="0"/>
    </xf>
  </cellXfs>
  <cellStyles count="6">
    <cellStyle name="Comma 2" xfId="1" xr:uid="{00000000-0005-0000-0000-000000000000}"/>
    <cellStyle name="Komma" xfId="2" builtinId="3"/>
    <cellStyle name="Link" xfId="5" builtinId="8"/>
    <cellStyle name="Normal" xfId="0" builtinId="0"/>
    <cellStyle name="Normal 2" xfId="3" xr:uid="{00000000-0005-0000-0000-000004000000}"/>
    <cellStyle name="Procent" xfId="4" builtinId="5"/>
  </cellStyles>
  <dxfs count="0"/>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customXml" Target="../customXml/item1.xml"/><Relationship Id="rId5" Type="http://schemas.openxmlformats.org/officeDocument/2006/relationships/worksheet" Target="worksheets/sheet5.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customXml" Target="../customXml/item2.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calcChain" Target="calcChain.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customXml" Target="../customXml/item3.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3.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4.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16.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8.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9.xml.rels><?xml version="1.0" encoding="UTF-8" standalone="yes"?>
<Relationships xmlns="http://schemas.openxmlformats.org/package/2006/relationships"><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21.xml.rels><?xml version="1.0" encoding="UTF-8" standalone="yes"?>
<Relationships xmlns="http://schemas.openxmlformats.org/package/2006/relationships"><Relationship Id="rId1" Type="http://schemas.openxmlformats.org/officeDocument/2006/relationships/image" Target="../media/image21.png"/></Relationships>
</file>

<file path=xl/drawings/_rels/drawing22.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3.xml.rels><?xml version="1.0" encoding="UTF-8" standalone="yes"?>
<Relationships xmlns="http://schemas.openxmlformats.org/package/2006/relationships"><Relationship Id="rId1" Type="http://schemas.openxmlformats.org/officeDocument/2006/relationships/image" Target="../media/image23.png"/></Relationships>
</file>

<file path=xl/drawings/_rels/drawing24.xml.rels><?xml version="1.0" encoding="UTF-8" standalone="yes"?>
<Relationships xmlns="http://schemas.openxmlformats.org/package/2006/relationships"><Relationship Id="rId1" Type="http://schemas.openxmlformats.org/officeDocument/2006/relationships/image" Target="../media/image24.png"/></Relationships>
</file>

<file path=xl/drawings/_rels/drawing25.xml.rels><?xml version="1.0" encoding="UTF-8" standalone="yes"?>
<Relationships xmlns="http://schemas.openxmlformats.org/package/2006/relationships"><Relationship Id="rId1" Type="http://schemas.openxmlformats.org/officeDocument/2006/relationships/image" Target="../media/image25.png"/></Relationships>
</file>

<file path=xl/drawings/_rels/drawing26.xml.rels><?xml version="1.0" encoding="UTF-8" standalone="yes"?>
<Relationships xmlns="http://schemas.openxmlformats.org/package/2006/relationships"><Relationship Id="rId1" Type="http://schemas.openxmlformats.org/officeDocument/2006/relationships/image" Target="../media/image26.png"/></Relationships>
</file>

<file path=xl/drawings/_rels/drawing27.xml.rels><?xml version="1.0" encoding="UTF-8" standalone="yes"?>
<Relationships xmlns="http://schemas.openxmlformats.org/package/2006/relationships"><Relationship Id="rId1" Type="http://schemas.openxmlformats.org/officeDocument/2006/relationships/image" Target="../media/image27.png"/></Relationships>
</file>

<file path=xl/drawings/_rels/drawing28.xml.rels><?xml version="1.0" encoding="UTF-8" standalone="yes"?>
<Relationships xmlns="http://schemas.openxmlformats.org/package/2006/relationships"><Relationship Id="rId1" Type="http://schemas.openxmlformats.org/officeDocument/2006/relationships/image" Target="../media/image28.png"/></Relationships>
</file>

<file path=xl/drawings/_rels/drawing29.xml.rels><?xml version="1.0" encoding="UTF-8" standalone="yes"?>
<Relationships xmlns="http://schemas.openxmlformats.org/package/2006/relationships"><Relationship Id="rId1" Type="http://schemas.openxmlformats.org/officeDocument/2006/relationships/image" Target="../media/image29.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30.xml.rels><?xml version="1.0" encoding="UTF-8" standalone="yes"?>
<Relationships xmlns="http://schemas.openxmlformats.org/package/2006/relationships"><Relationship Id="rId1" Type="http://schemas.openxmlformats.org/officeDocument/2006/relationships/image" Target="../media/image30.png"/></Relationships>
</file>

<file path=xl/drawings/_rels/drawing31.xml.rels><?xml version="1.0" encoding="UTF-8" standalone="yes"?>
<Relationships xmlns="http://schemas.openxmlformats.org/package/2006/relationships"><Relationship Id="rId1" Type="http://schemas.openxmlformats.org/officeDocument/2006/relationships/image" Target="../media/image31.png"/></Relationships>
</file>

<file path=xl/drawings/_rels/drawing32.xml.rels><?xml version="1.0" encoding="UTF-8" standalone="yes"?>
<Relationships xmlns="http://schemas.openxmlformats.org/package/2006/relationships"><Relationship Id="rId1" Type="http://schemas.openxmlformats.org/officeDocument/2006/relationships/image" Target="../media/image32.png"/></Relationships>
</file>

<file path=xl/drawings/_rels/drawing33.xml.rels><?xml version="1.0" encoding="UTF-8" standalone="yes"?>
<Relationships xmlns="http://schemas.openxmlformats.org/package/2006/relationships"><Relationship Id="rId1" Type="http://schemas.openxmlformats.org/officeDocument/2006/relationships/image" Target="../media/image33.png"/></Relationships>
</file>

<file path=xl/drawings/_rels/drawing34.xml.rels><?xml version="1.0" encoding="UTF-8" standalone="yes"?>
<Relationships xmlns="http://schemas.openxmlformats.org/package/2006/relationships"><Relationship Id="rId1" Type="http://schemas.openxmlformats.org/officeDocument/2006/relationships/image" Target="../media/image34.png"/></Relationships>
</file>

<file path=xl/drawings/_rels/drawing35.xml.rels><?xml version="1.0" encoding="UTF-8" standalone="yes"?>
<Relationships xmlns="http://schemas.openxmlformats.org/package/2006/relationships"><Relationship Id="rId1" Type="http://schemas.openxmlformats.org/officeDocument/2006/relationships/image" Target="../media/image35.png"/></Relationships>
</file>

<file path=xl/drawings/_rels/drawing36.xml.rels><?xml version="1.0" encoding="UTF-8" standalone="yes"?>
<Relationships xmlns="http://schemas.openxmlformats.org/package/2006/relationships"><Relationship Id="rId1" Type="http://schemas.openxmlformats.org/officeDocument/2006/relationships/image" Target="../media/image36.png"/></Relationships>
</file>

<file path=xl/drawings/_rels/drawing37.xml.rels><?xml version="1.0" encoding="UTF-8" standalone="yes"?>
<Relationships xmlns="http://schemas.openxmlformats.org/package/2006/relationships"><Relationship Id="rId1" Type="http://schemas.openxmlformats.org/officeDocument/2006/relationships/image" Target="../media/image37.png"/></Relationships>
</file>

<file path=xl/drawings/_rels/drawing38.xml.rels><?xml version="1.0" encoding="UTF-8" standalone="yes"?>
<Relationships xmlns="http://schemas.openxmlformats.org/package/2006/relationships"><Relationship Id="rId1" Type="http://schemas.openxmlformats.org/officeDocument/2006/relationships/image" Target="../media/image38.png"/></Relationships>
</file>

<file path=xl/drawings/_rels/drawing39.xml.rels><?xml version="1.0" encoding="UTF-8" standalone="yes"?>
<Relationships xmlns="http://schemas.openxmlformats.org/package/2006/relationships"><Relationship Id="rId1" Type="http://schemas.openxmlformats.org/officeDocument/2006/relationships/image" Target="../media/image39.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40.xml.rels><?xml version="1.0" encoding="UTF-8" standalone="yes"?>
<Relationships xmlns="http://schemas.openxmlformats.org/package/2006/relationships"><Relationship Id="rId1" Type="http://schemas.openxmlformats.org/officeDocument/2006/relationships/image" Target="../media/image40.png"/></Relationships>
</file>

<file path=xl/drawings/_rels/drawing41.xml.rels><?xml version="1.0" encoding="UTF-8" standalone="yes"?>
<Relationships xmlns="http://schemas.openxmlformats.org/package/2006/relationships"><Relationship Id="rId1" Type="http://schemas.openxmlformats.org/officeDocument/2006/relationships/image" Target="../media/image41.png"/></Relationships>
</file>

<file path=xl/drawings/_rels/drawing42.xml.rels><?xml version="1.0" encoding="UTF-8" standalone="yes"?>
<Relationships xmlns="http://schemas.openxmlformats.org/package/2006/relationships"><Relationship Id="rId1" Type="http://schemas.openxmlformats.org/officeDocument/2006/relationships/image" Target="../media/image42.png"/></Relationships>
</file>

<file path=xl/drawings/_rels/drawing43.xml.rels><?xml version="1.0" encoding="UTF-8" standalone="yes"?>
<Relationships xmlns="http://schemas.openxmlformats.org/package/2006/relationships"><Relationship Id="rId1" Type="http://schemas.openxmlformats.org/officeDocument/2006/relationships/image" Target="../media/image43.png"/></Relationships>
</file>

<file path=xl/drawings/_rels/drawing44.xml.rels><?xml version="1.0" encoding="UTF-8" standalone="yes"?>
<Relationships xmlns="http://schemas.openxmlformats.org/package/2006/relationships"><Relationship Id="rId1" Type="http://schemas.openxmlformats.org/officeDocument/2006/relationships/image" Target="../media/image44.png"/></Relationships>
</file>

<file path=xl/drawings/_rels/drawing45.xml.rels><?xml version="1.0" encoding="UTF-8" standalone="yes"?>
<Relationships xmlns="http://schemas.openxmlformats.org/package/2006/relationships"><Relationship Id="rId1" Type="http://schemas.openxmlformats.org/officeDocument/2006/relationships/image" Target="../media/image45.png"/></Relationships>
</file>

<file path=xl/drawings/_rels/drawing46.xml.rels><?xml version="1.0" encoding="UTF-8" standalone="yes"?>
<Relationships xmlns="http://schemas.openxmlformats.org/package/2006/relationships"><Relationship Id="rId1" Type="http://schemas.openxmlformats.org/officeDocument/2006/relationships/image" Target="../media/image46.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2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3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2.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3.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4.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49.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0.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51.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7.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8.v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9.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5</xdr:col>
          <xdr:colOff>2247900</xdr:colOff>
          <xdr:row>1</xdr:row>
          <xdr:rowOff>38100</xdr:rowOff>
        </xdr:from>
        <xdr:to>
          <xdr:col>5</xdr:col>
          <xdr:colOff>3352800</xdr:colOff>
          <xdr:row>1</xdr:row>
          <xdr:rowOff>247650</xdr:rowOff>
        </xdr:to>
        <xdr:sp macro="" textlink="">
          <xdr:nvSpPr>
            <xdr:cNvPr id="1052" name="Button 28" hidden="1">
              <a:extLst>
                <a:ext uri="{63B3BB69-23CF-44E3-9099-C40C66FF867C}">
                  <a14:compatExt spid="_x0000_s1052"/>
                </a:ext>
                <a:ext uri="{FF2B5EF4-FFF2-40B4-BE49-F238E27FC236}">
                  <a16:creationId xmlns:a16="http://schemas.microsoft.com/office/drawing/2014/main" id="{00000000-0008-0000-0300-00001C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da-DK" sz="1000" b="1" i="0" u="none" strike="noStrike" baseline="0">
                  <a:solidFill>
                    <a:srgbClr val="000000"/>
                  </a:solidFill>
                  <a:latin typeface="Arial"/>
                  <a:cs typeface="Arial"/>
                </a:rPr>
                <a:t>Nyt projekt</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2247900</xdr:colOff>
          <xdr:row>4</xdr:row>
          <xdr:rowOff>0</xdr:rowOff>
        </xdr:from>
        <xdr:to>
          <xdr:col>6</xdr:col>
          <xdr:colOff>381000</xdr:colOff>
          <xdr:row>6</xdr:row>
          <xdr:rowOff>57150</xdr:rowOff>
        </xdr:to>
        <xdr:sp macro="" textlink="">
          <xdr:nvSpPr>
            <xdr:cNvPr id="1053" name="Button 29" hidden="1">
              <a:extLst>
                <a:ext uri="{63B3BB69-23CF-44E3-9099-C40C66FF867C}">
                  <a14:compatExt spid="_x0000_s1053"/>
                </a:ext>
                <a:ext uri="{FF2B5EF4-FFF2-40B4-BE49-F238E27FC236}">
                  <a16:creationId xmlns:a16="http://schemas.microsoft.com/office/drawing/2014/main" id="{00000000-0008-0000-0300-00001D040000}"/>
                </a:ext>
              </a:extLst>
            </xdr:cNvPr>
            <xdr:cNvSpPr/>
          </xdr:nvSpPr>
          <xdr:spPr bwMode="auto">
            <a:xfrm>
              <a:off x="0" y="0"/>
              <a:ext cx="0" cy="0"/>
            </a:xfrm>
            <a:prstGeom prst="rect">
              <a:avLst/>
            </a:prstGeom>
            <a:noFill/>
            <a:ln w="9525">
              <a:miter lim="800000"/>
              <a:headEnd/>
              <a:tailEnd/>
            </a:ln>
          </xdr:spPr>
          <xdr:txBody>
            <a:bodyPr vertOverflow="clip" wrap="square" lIns="36576" tIns="32004" rIns="0" bIns="32004" anchor="ctr" upright="1"/>
            <a:lstStyle/>
            <a:p>
              <a:pPr algn="l" rtl="0">
                <a:defRPr sz="1000"/>
              </a:pPr>
              <a:r>
                <a:rPr lang="da-DK" sz="1000" b="1" i="0" u="none" strike="noStrike" baseline="0">
                  <a:solidFill>
                    <a:srgbClr val="000000"/>
                  </a:solidFill>
                  <a:latin typeface="Arial"/>
                  <a:cs typeface="Arial"/>
                </a:rPr>
                <a:t>Prioriter projekter efter vægtet effekt pr. mio. kr.</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2247900</xdr:colOff>
          <xdr:row>2</xdr:row>
          <xdr:rowOff>19050</xdr:rowOff>
        </xdr:from>
        <xdr:to>
          <xdr:col>5</xdr:col>
          <xdr:colOff>3352800</xdr:colOff>
          <xdr:row>3</xdr:row>
          <xdr:rowOff>57150</xdr:rowOff>
        </xdr:to>
        <xdr:sp macro="" textlink="">
          <xdr:nvSpPr>
            <xdr:cNvPr id="1054" name="Button 30" hidden="1">
              <a:extLst>
                <a:ext uri="{63B3BB69-23CF-44E3-9099-C40C66FF867C}">
                  <a14:compatExt spid="_x0000_s1054"/>
                </a:ext>
                <a:ext uri="{FF2B5EF4-FFF2-40B4-BE49-F238E27FC236}">
                  <a16:creationId xmlns:a16="http://schemas.microsoft.com/office/drawing/2014/main" id="{00000000-0008-0000-0300-00001E040000}"/>
                </a:ext>
              </a:extLst>
            </xdr:cNvPr>
            <xdr:cNvSpPr/>
          </xdr:nvSpPr>
          <xdr:spPr bwMode="auto">
            <a:xfrm>
              <a:off x="0" y="0"/>
              <a:ext cx="0" cy="0"/>
            </a:xfrm>
            <a:prstGeom prst="rect">
              <a:avLst/>
            </a:prstGeom>
            <a:noFill/>
            <a:ln w="9525">
              <a:miter lim="800000"/>
              <a:headEnd/>
              <a:tailEnd/>
            </a:ln>
          </xdr:spPr>
          <xdr:txBody>
            <a:bodyPr vertOverflow="clip" wrap="square" lIns="36576" tIns="32004" rIns="36576" bIns="32004" anchor="ctr" upright="1"/>
            <a:lstStyle/>
            <a:p>
              <a:pPr algn="ctr" rtl="0">
                <a:defRPr sz="1000"/>
              </a:pPr>
              <a:r>
                <a:rPr lang="da-DK" sz="1000" b="1" i="0" u="none" strike="noStrike" baseline="0">
                  <a:solidFill>
                    <a:srgbClr val="000000"/>
                  </a:solidFill>
                  <a:latin typeface="Arial"/>
                  <a:cs typeface="Arial"/>
                </a:rPr>
                <a:t>Opdater projektliste</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absolute">
        <xdr:from>
          <xdr:col>5</xdr:col>
          <xdr:colOff>2247900</xdr:colOff>
          <xdr:row>6</xdr:row>
          <xdr:rowOff>127000</xdr:rowOff>
        </xdr:from>
        <xdr:to>
          <xdr:col>6</xdr:col>
          <xdr:colOff>361950</xdr:colOff>
          <xdr:row>8</xdr:row>
          <xdr:rowOff>146050</xdr:rowOff>
        </xdr:to>
        <xdr:sp macro="" textlink="">
          <xdr:nvSpPr>
            <xdr:cNvPr id="1058" name="Button 34" hidden="1">
              <a:extLst>
                <a:ext uri="{63B3BB69-23CF-44E3-9099-C40C66FF867C}">
                  <a14:compatExt spid="_x0000_s1058"/>
                </a:ext>
                <a:ext uri="{FF2B5EF4-FFF2-40B4-BE49-F238E27FC236}">
                  <a16:creationId xmlns:a16="http://schemas.microsoft.com/office/drawing/2014/main" id="{00000000-0008-0000-0300-000022040000}"/>
                </a:ext>
              </a:extLst>
            </xdr:cNvPr>
            <xdr:cNvSpPr/>
          </xdr:nvSpPr>
          <xdr:spPr bwMode="auto">
            <a:xfrm>
              <a:off x="0" y="0"/>
              <a:ext cx="0" cy="0"/>
            </a:xfrm>
            <a:prstGeom prst="rect">
              <a:avLst/>
            </a:prstGeom>
            <a:noFill/>
            <a:ln w="9525">
              <a:miter lim="800000"/>
              <a:headEnd/>
              <a:tailEnd/>
            </a:ln>
          </xdr:spPr>
          <xdr:txBody>
            <a:bodyPr vertOverflow="clip" wrap="square" lIns="36576" tIns="32004" rIns="0" bIns="32004" anchor="ctr" upright="1"/>
            <a:lstStyle/>
            <a:p>
              <a:pPr algn="l" rtl="0">
                <a:defRPr sz="1000"/>
              </a:pPr>
              <a:r>
                <a:rPr lang="da-DK" sz="1000" b="1" i="0" u="none" strike="noStrike" baseline="0">
                  <a:solidFill>
                    <a:srgbClr val="000000"/>
                  </a:solidFill>
                  <a:latin typeface="Arial"/>
                  <a:cs typeface="Arial"/>
                </a:rPr>
                <a:t>Prioriter projekter efter samlet vægtet effekt</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67235</xdr:colOff>
      <xdr:row>29</xdr:row>
      <xdr:rowOff>22412</xdr:rowOff>
    </xdr:from>
    <xdr:to>
      <xdr:col>5</xdr:col>
      <xdr:colOff>212912</xdr:colOff>
      <xdr:row>54</xdr:row>
      <xdr:rowOff>76064</xdr:rowOff>
    </xdr:to>
    <xdr:pic>
      <xdr:nvPicPr>
        <xdr:cNvPr id="2" name="Billede 1">
          <a:extLst>
            <a:ext uri="{FF2B5EF4-FFF2-40B4-BE49-F238E27FC236}">
              <a16:creationId xmlns:a16="http://schemas.microsoft.com/office/drawing/2014/main" id="{84240701-54E2-955A-7AC8-70FE59CD2012}"/>
            </a:ext>
          </a:extLst>
        </xdr:cNvPr>
        <xdr:cNvPicPr>
          <a:picLocks noChangeAspect="1"/>
        </xdr:cNvPicPr>
      </xdr:nvPicPr>
      <xdr:blipFill rotWithShape="1">
        <a:blip xmlns:r="http://schemas.openxmlformats.org/officeDocument/2006/relationships" r:embed="rId1"/>
        <a:srcRect l="849" t="9055" r="17088" b="8190"/>
        <a:stretch>
          <a:fillRect/>
        </a:stretch>
      </xdr:blipFill>
      <xdr:spPr>
        <a:xfrm>
          <a:off x="67235" y="6667500"/>
          <a:ext cx="8213912" cy="465927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33618</xdr:colOff>
      <xdr:row>28</xdr:row>
      <xdr:rowOff>145677</xdr:rowOff>
    </xdr:from>
    <xdr:to>
      <xdr:col>4</xdr:col>
      <xdr:colOff>737030</xdr:colOff>
      <xdr:row>52</xdr:row>
      <xdr:rowOff>140824</xdr:rowOff>
    </xdr:to>
    <xdr:pic>
      <xdr:nvPicPr>
        <xdr:cNvPr id="2" name="Billede 1">
          <a:extLst>
            <a:ext uri="{FF2B5EF4-FFF2-40B4-BE49-F238E27FC236}">
              <a16:creationId xmlns:a16="http://schemas.microsoft.com/office/drawing/2014/main" id="{AE923A84-5380-869E-93E4-376EFB223059}"/>
            </a:ext>
          </a:extLst>
        </xdr:cNvPr>
        <xdr:cNvPicPr>
          <a:picLocks noChangeAspect="1"/>
        </xdr:cNvPicPr>
      </xdr:nvPicPr>
      <xdr:blipFill rotWithShape="1">
        <a:blip xmlns:r="http://schemas.openxmlformats.org/officeDocument/2006/relationships" r:embed="rId1"/>
        <a:srcRect l="424" t="7546" r="20200" b="7686"/>
        <a:stretch>
          <a:fillRect/>
        </a:stretch>
      </xdr:blipFill>
      <xdr:spPr>
        <a:xfrm>
          <a:off x="33618" y="6600265"/>
          <a:ext cx="7920000" cy="4757647"/>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67234</xdr:colOff>
      <xdr:row>29</xdr:row>
      <xdr:rowOff>0</xdr:rowOff>
    </xdr:from>
    <xdr:to>
      <xdr:col>5</xdr:col>
      <xdr:colOff>214861</xdr:colOff>
      <xdr:row>50</xdr:row>
      <xdr:rowOff>145677</xdr:rowOff>
    </xdr:to>
    <xdr:pic>
      <xdr:nvPicPr>
        <xdr:cNvPr id="2" name="Billede 1">
          <a:extLst>
            <a:ext uri="{FF2B5EF4-FFF2-40B4-BE49-F238E27FC236}">
              <a16:creationId xmlns:a16="http://schemas.microsoft.com/office/drawing/2014/main" id="{8CE430A7-2181-E355-21AC-E3DE04C4AC5F}"/>
            </a:ext>
          </a:extLst>
        </xdr:cNvPr>
        <xdr:cNvPicPr>
          <a:picLocks noChangeAspect="1"/>
        </xdr:cNvPicPr>
      </xdr:nvPicPr>
      <xdr:blipFill rotWithShape="1">
        <a:blip xmlns:r="http://schemas.openxmlformats.org/officeDocument/2006/relationships" r:embed="rId1"/>
        <a:srcRect l="812" t="8181" r="5400" b="8813"/>
        <a:stretch>
          <a:fillRect/>
        </a:stretch>
      </xdr:blipFill>
      <xdr:spPr>
        <a:xfrm>
          <a:off x="67234" y="6801971"/>
          <a:ext cx="8215862" cy="4090147"/>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78440</xdr:colOff>
      <xdr:row>29</xdr:row>
      <xdr:rowOff>11206</xdr:rowOff>
    </xdr:from>
    <xdr:to>
      <xdr:col>4</xdr:col>
      <xdr:colOff>795617</xdr:colOff>
      <xdr:row>49</xdr:row>
      <xdr:rowOff>123265</xdr:rowOff>
    </xdr:to>
    <xdr:pic>
      <xdr:nvPicPr>
        <xdr:cNvPr id="2" name="Billede 1">
          <a:extLst>
            <a:ext uri="{FF2B5EF4-FFF2-40B4-BE49-F238E27FC236}">
              <a16:creationId xmlns:a16="http://schemas.microsoft.com/office/drawing/2014/main" id="{19DF124A-F534-644A-4356-887C8016E0E4}"/>
            </a:ext>
          </a:extLst>
        </xdr:cNvPr>
        <xdr:cNvPicPr>
          <a:picLocks noChangeAspect="1"/>
        </xdr:cNvPicPr>
      </xdr:nvPicPr>
      <xdr:blipFill rotWithShape="1">
        <a:blip xmlns:r="http://schemas.openxmlformats.org/officeDocument/2006/relationships" r:embed="rId1"/>
        <a:srcRect l="948" t="8421" r="3234" b="7851"/>
        <a:stretch>
          <a:fillRect/>
        </a:stretch>
      </xdr:blipFill>
      <xdr:spPr>
        <a:xfrm>
          <a:off x="78440" y="6656294"/>
          <a:ext cx="7933765" cy="3899647"/>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44823</xdr:colOff>
      <xdr:row>29</xdr:row>
      <xdr:rowOff>179294</xdr:rowOff>
    </xdr:from>
    <xdr:to>
      <xdr:col>5</xdr:col>
      <xdr:colOff>333789</xdr:colOff>
      <xdr:row>52</xdr:row>
      <xdr:rowOff>100853</xdr:rowOff>
    </xdr:to>
    <xdr:pic>
      <xdr:nvPicPr>
        <xdr:cNvPr id="2" name="Billede 1">
          <a:extLst>
            <a:ext uri="{FF2B5EF4-FFF2-40B4-BE49-F238E27FC236}">
              <a16:creationId xmlns:a16="http://schemas.microsoft.com/office/drawing/2014/main" id="{0CBF2776-3C02-D2AC-30CD-1B1E5A4A1AA4}"/>
            </a:ext>
          </a:extLst>
        </xdr:cNvPr>
        <xdr:cNvPicPr>
          <a:picLocks noChangeAspect="1"/>
        </xdr:cNvPicPr>
      </xdr:nvPicPr>
      <xdr:blipFill rotWithShape="1">
        <a:blip xmlns:r="http://schemas.openxmlformats.org/officeDocument/2006/relationships" r:embed="rId1"/>
        <a:srcRect l="541" t="12030" r="8242" b="6648"/>
        <a:stretch>
          <a:fillRect/>
        </a:stretch>
      </xdr:blipFill>
      <xdr:spPr>
        <a:xfrm>
          <a:off x="44823" y="6981265"/>
          <a:ext cx="8357201" cy="4191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78440</xdr:colOff>
      <xdr:row>28</xdr:row>
      <xdr:rowOff>145677</xdr:rowOff>
    </xdr:from>
    <xdr:to>
      <xdr:col>5</xdr:col>
      <xdr:colOff>235324</xdr:colOff>
      <xdr:row>53</xdr:row>
      <xdr:rowOff>116123</xdr:rowOff>
    </xdr:to>
    <xdr:pic>
      <xdr:nvPicPr>
        <xdr:cNvPr id="2" name="Billede 1">
          <a:extLst>
            <a:ext uri="{FF2B5EF4-FFF2-40B4-BE49-F238E27FC236}">
              <a16:creationId xmlns:a16="http://schemas.microsoft.com/office/drawing/2014/main" id="{3568BDAA-5D30-C000-E14F-7819B68A0B51}"/>
            </a:ext>
          </a:extLst>
        </xdr:cNvPr>
        <xdr:cNvPicPr>
          <a:picLocks noChangeAspect="1"/>
        </xdr:cNvPicPr>
      </xdr:nvPicPr>
      <xdr:blipFill rotWithShape="1">
        <a:blip xmlns:r="http://schemas.openxmlformats.org/officeDocument/2006/relationships" r:embed="rId1"/>
        <a:srcRect l="947" t="7218" r="12844" b="6888"/>
        <a:stretch>
          <a:fillRect/>
        </a:stretch>
      </xdr:blipFill>
      <xdr:spPr>
        <a:xfrm>
          <a:off x="78440" y="6600265"/>
          <a:ext cx="8225119" cy="4609682"/>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44824</xdr:colOff>
      <xdr:row>29</xdr:row>
      <xdr:rowOff>168088</xdr:rowOff>
    </xdr:from>
    <xdr:to>
      <xdr:col>5</xdr:col>
      <xdr:colOff>304499</xdr:colOff>
      <xdr:row>51</xdr:row>
      <xdr:rowOff>112059</xdr:rowOff>
    </xdr:to>
    <xdr:pic>
      <xdr:nvPicPr>
        <xdr:cNvPr id="2" name="Billede 1">
          <a:extLst>
            <a:ext uri="{FF2B5EF4-FFF2-40B4-BE49-F238E27FC236}">
              <a16:creationId xmlns:a16="http://schemas.microsoft.com/office/drawing/2014/main" id="{4551B328-282A-DFAD-B04B-9D0D13D33F5A}"/>
            </a:ext>
          </a:extLst>
        </xdr:cNvPr>
        <xdr:cNvPicPr>
          <a:picLocks noChangeAspect="1"/>
        </xdr:cNvPicPr>
      </xdr:nvPicPr>
      <xdr:blipFill rotWithShape="1">
        <a:blip xmlns:r="http://schemas.openxmlformats.org/officeDocument/2006/relationships" r:embed="rId1"/>
        <a:srcRect l="542" t="11790" r="4452" b="6166"/>
        <a:stretch>
          <a:fillRect/>
        </a:stretch>
      </xdr:blipFill>
      <xdr:spPr>
        <a:xfrm>
          <a:off x="44824" y="6813176"/>
          <a:ext cx="8327910" cy="404532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78440</xdr:colOff>
      <xdr:row>29</xdr:row>
      <xdr:rowOff>190499</xdr:rowOff>
    </xdr:from>
    <xdr:to>
      <xdr:col>5</xdr:col>
      <xdr:colOff>8613</xdr:colOff>
      <xdr:row>52</xdr:row>
      <xdr:rowOff>179293</xdr:rowOff>
    </xdr:to>
    <xdr:pic>
      <xdr:nvPicPr>
        <xdr:cNvPr id="2" name="Billede 1">
          <a:extLst>
            <a:ext uri="{FF2B5EF4-FFF2-40B4-BE49-F238E27FC236}">
              <a16:creationId xmlns:a16="http://schemas.microsoft.com/office/drawing/2014/main" id="{290ED5DF-1FC7-CE82-7196-9A03F9CF081B}"/>
            </a:ext>
          </a:extLst>
        </xdr:cNvPr>
        <xdr:cNvPicPr>
          <a:picLocks noChangeAspect="1"/>
        </xdr:cNvPicPr>
      </xdr:nvPicPr>
      <xdr:blipFill rotWithShape="1">
        <a:blip xmlns:r="http://schemas.openxmlformats.org/officeDocument/2006/relationships" r:embed="rId1"/>
        <a:srcRect l="947" t="12270" r="13384" b="6648"/>
        <a:stretch>
          <a:fillRect/>
        </a:stretch>
      </xdr:blipFill>
      <xdr:spPr>
        <a:xfrm>
          <a:off x="78440" y="6992470"/>
          <a:ext cx="7998408" cy="4258235"/>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78441</xdr:colOff>
      <xdr:row>29</xdr:row>
      <xdr:rowOff>145677</xdr:rowOff>
    </xdr:from>
    <xdr:to>
      <xdr:col>5</xdr:col>
      <xdr:colOff>290206</xdr:colOff>
      <xdr:row>54</xdr:row>
      <xdr:rowOff>90693</xdr:rowOff>
    </xdr:to>
    <xdr:pic>
      <xdr:nvPicPr>
        <xdr:cNvPr id="2" name="Billede 1">
          <a:extLst>
            <a:ext uri="{FF2B5EF4-FFF2-40B4-BE49-F238E27FC236}">
              <a16:creationId xmlns:a16="http://schemas.microsoft.com/office/drawing/2014/main" id="{2295DB13-B98F-6859-242B-7592F8BBB76E}"/>
            </a:ext>
          </a:extLst>
        </xdr:cNvPr>
        <xdr:cNvPicPr>
          <a:picLocks noChangeAspect="1"/>
        </xdr:cNvPicPr>
      </xdr:nvPicPr>
      <xdr:blipFill rotWithShape="1">
        <a:blip xmlns:r="http://schemas.openxmlformats.org/officeDocument/2006/relationships" r:embed="rId1"/>
        <a:srcRect l="947" t="11309" r="15821" b="7369"/>
        <a:stretch>
          <a:fillRect/>
        </a:stretch>
      </xdr:blipFill>
      <xdr:spPr>
        <a:xfrm>
          <a:off x="78441" y="6790765"/>
          <a:ext cx="8280000" cy="4550634"/>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56029</xdr:colOff>
      <xdr:row>29</xdr:row>
      <xdr:rowOff>179293</xdr:rowOff>
    </xdr:from>
    <xdr:to>
      <xdr:col>5</xdr:col>
      <xdr:colOff>267794</xdr:colOff>
      <xdr:row>53</xdr:row>
      <xdr:rowOff>16377</xdr:rowOff>
    </xdr:to>
    <xdr:pic>
      <xdr:nvPicPr>
        <xdr:cNvPr id="2" name="Billede 1">
          <a:extLst>
            <a:ext uri="{FF2B5EF4-FFF2-40B4-BE49-F238E27FC236}">
              <a16:creationId xmlns:a16="http://schemas.microsoft.com/office/drawing/2014/main" id="{6F75251E-B5F1-8E22-7F32-462EE3DA1E60}"/>
            </a:ext>
          </a:extLst>
        </xdr:cNvPr>
        <xdr:cNvPicPr>
          <a:picLocks noChangeAspect="1"/>
        </xdr:cNvPicPr>
      </xdr:nvPicPr>
      <xdr:blipFill rotWithShape="1">
        <a:blip xmlns:r="http://schemas.openxmlformats.org/officeDocument/2006/relationships" r:embed="rId1"/>
        <a:srcRect l="677" t="12030" r="10948" b="6648"/>
        <a:stretch>
          <a:fillRect/>
        </a:stretch>
      </xdr:blipFill>
      <xdr:spPr>
        <a:xfrm>
          <a:off x="56029" y="6824381"/>
          <a:ext cx="8280000" cy="428582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123824</xdr:colOff>
      <xdr:row>32</xdr:row>
      <xdr:rowOff>38099</xdr:rowOff>
    </xdr:from>
    <xdr:to>
      <xdr:col>5</xdr:col>
      <xdr:colOff>200025</xdr:colOff>
      <xdr:row>55</xdr:row>
      <xdr:rowOff>70049</xdr:rowOff>
    </xdr:to>
    <xdr:pic>
      <xdr:nvPicPr>
        <xdr:cNvPr id="2" name="Billede 1">
          <a:extLst>
            <a:ext uri="{FF2B5EF4-FFF2-40B4-BE49-F238E27FC236}">
              <a16:creationId xmlns:a16="http://schemas.microsoft.com/office/drawing/2014/main" id="{E2B8D3E0-B57C-0756-F72C-710D2B216363}"/>
            </a:ext>
          </a:extLst>
        </xdr:cNvPr>
        <xdr:cNvPicPr>
          <a:picLocks noChangeAspect="1"/>
        </xdr:cNvPicPr>
      </xdr:nvPicPr>
      <xdr:blipFill rotWithShape="1">
        <a:blip xmlns:r="http://schemas.openxmlformats.org/officeDocument/2006/relationships" r:embed="rId1"/>
        <a:srcRect l="678" t="7316" r="13477" b="7478"/>
        <a:stretch>
          <a:fillRect/>
        </a:stretch>
      </xdr:blipFill>
      <xdr:spPr>
        <a:xfrm>
          <a:off x="123824" y="7200899"/>
          <a:ext cx="8143876" cy="45468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67235</xdr:colOff>
      <xdr:row>29</xdr:row>
      <xdr:rowOff>168088</xdr:rowOff>
    </xdr:from>
    <xdr:to>
      <xdr:col>5</xdr:col>
      <xdr:colOff>279000</xdr:colOff>
      <xdr:row>52</xdr:row>
      <xdr:rowOff>14366</xdr:rowOff>
    </xdr:to>
    <xdr:pic>
      <xdr:nvPicPr>
        <xdr:cNvPr id="2" name="Billede 1">
          <a:extLst>
            <a:ext uri="{FF2B5EF4-FFF2-40B4-BE49-F238E27FC236}">
              <a16:creationId xmlns:a16="http://schemas.microsoft.com/office/drawing/2014/main" id="{F92EF4AF-F8DE-2DC9-1C9F-2ADEF835A87B}"/>
            </a:ext>
          </a:extLst>
        </xdr:cNvPr>
        <xdr:cNvPicPr>
          <a:picLocks noChangeAspect="1"/>
        </xdr:cNvPicPr>
      </xdr:nvPicPr>
      <xdr:blipFill rotWithShape="1">
        <a:blip xmlns:r="http://schemas.openxmlformats.org/officeDocument/2006/relationships" r:embed="rId1"/>
        <a:srcRect l="812" t="11789" r="6889" b="6649"/>
        <a:stretch>
          <a:fillRect/>
        </a:stretch>
      </xdr:blipFill>
      <xdr:spPr>
        <a:xfrm>
          <a:off x="67235" y="6813176"/>
          <a:ext cx="8280000" cy="411571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0</xdr:col>
      <xdr:colOff>56029</xdr:colOff>
      <xdr:row>29</xdr:row>
      <xdr:rowOff>179294</xdr:rowOff>
    </xdr:from>
    <xdr:to>
      <xdr:col>5</xdr:col>
      <xdr:colOff>33618</xdr:colOff>
      <xdr:row>50</xdr:row>
      <xdr:rowOff>56029</xdr:rowOff>
    </xdr:to>
    <xdr:pic>
      <xdr:nvPicPr>
        <xdr:cNvPr id="2" name="Billede 1">
          <a:extLst>
            <a:ext uri="{FF2B5EF4-FFF2-40B4-BE49-F238E27FC236}">
              <a16:creationId xmlns:a16="http://schemas.microsoft.com/office/drawing/2014/main" id="{A01022B0-A438-A344-887A-504A17F60823}"/>
            </a:ext>
          </a:extLst>
        </xdr:cNvPr>
        <xdr:cNvPicPr>
          <a:picLocks noChangeAspect="1"/>
        </xdr:cNvPicPr>
      </xdr:nvPicPr>
      <xdr:blipFill rotWithShape="1">
        <a:blip xmlns:r="http://schemas.openxmlformats.org/officeDocument/2006/relationships" r:embed="rId1"/>
        <a:srcRect l="677" t="12030" r="2150" b="5926"/>
        <a:stretch>
          <a:fillRect/>
        </a:stretch>
      </xdr:blipFill>
      <xdr:spPr>
        <a:xfrm>
          <a:off x="56029" y="6824382"/>
          <a:ext cx="8045824" cy="3821206"/>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0</xdr:col>
      <xdr:colOff>22412</xdr:colOff>
      <xdr:row>29</xdr:row>
      <xdr:rowOff>156881</xdr:rowOff>
    </xdr:from>
    <xdr:to>
      <xdr:col>5</xdr:col>
      <xdr:colOff>234177</xdr:colOff>
      <xdr:row>54</xdr:row>
      <xdr:rowOff>120449</xdr:rowOff>
    </xdr:to>
    <xdr:pic>
      <xdr:nvPicPr>
        <xdr:cNvPr id="2" name="Billede 1">
          <a:extLst>
            <a:ext uri="{FF2B5EF4-FFF2-40B4-BE49-F238E27FC236}">
              <a16:creationId xmlns:a16="http://schemas.microsoft.com/office/drawing/2014/main" id="{73DE02EB-3D9E-BB63-87FB-F56FB145C0E0}"/>
            </a:ext>
          </a:extLst>
        </xdr:cNvPr>
        <xdr:cNvPicPr>
          <a:picLocks noChangeAspect="1"/>
        </xdr:cNvPicPr>
      </xdr:nvPicPr>
      <xdr:blipFill rotWithShape="1">
        <a:blip xmlns:r="http://schemas.openxmlformats.org/officeDocument/2006/relationships" r:embed="rId1"/>
        <a:srcRect l="271" t="11549" r="14873" b="5204"/>
        <a:stretch>
          <a:fillRect/>
        </a:stretch>
      </xdr:blipFill>
      <xdr:spPr>
        <a:xfrm>
          <a:off x="22412" y="6801969"/>
          <a:ext cx="8280000" cy="4569186"/>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0</xdr:col>
      <xdr:colOff>56029</xdr:colOff>
      <xdr:row>29</xdr:row>
      <xdr:rowOff>190500</xdr:rowOff>
    </xdr:from>
    <xdr:to>
      <xdr:col>5</xdr:col>
      <xdr:colOff>267794</xdr:colOff>
      <xdr:row>52</xdr:row>
      <xdr:rowOff>119736</xdr:rowOff>
    </xdr:to>
    <xdr:pic>
      <xdr:nvPicPr>
        <xdr:cNvPr id="2" name="Billede 1">
          <a:extLst>
            <a:ext uri="{FF2B5EF4-FFF2-40B4-BE49-F238E27FC236}">
              <a16:creationId xmlns:a16="http://schemas.microsoft.com/office/drawing/2014/main" id="{E1275B65-DE6C-E006-ADCA-D8D2B8D0FED9}"/>
            </a:ext>
          </a:extLst>
        </xdr:cNvPr>
        <xdr:cNvPicPr>
          <a:picLocks noChangeAspect="1"/>
        </xdr:cNvPicPr>
      </xdr:nvPicPr>
      <xdr:blipFill rotWithShape="1">
        <a:blip xmlns:r="http://schemas.openxmlformats.org/officeDocument/2006/relationships" r:embed="rId1"/>
        <a:srcRect l="677" t="12271" r="13384" b="10256"/>
        <a:stretch>
          <a:fillRect/>
        </a:stretch>
      </xdr:blipFill>
      <xdr:spPr>
        <a:xfrm>
          <a:off x="56029" y="6835588"/>
          <a:ext cx="8280000" cy="4198677"/>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0</xdr:col>
      <xdr:colOff>67234</xdr:colOff>
      <xdr:row>30</xdr:row>
      <xdr:rowOff>123264</xdr:rowOff>
    </xdr:from>
    <xdr:to>
      <xdr:col>4</xdr:col>
      <xdr:colOff>806824</xdr:colOff>
      <xdr:row>52</xdr:row>
      <xdr:rowOff>9939</xdr:rowOff>
    </xdr:to>
    <xdr:pic>
      <xdr:nvPicPr>
        <xdr:cNvPr id="2" name="Billede 1">
          <a:extLst>
            <a:ext uri="{FF2B5EF4-FFF2-40B4-BE49-F238E27FC236}">
              <a16:creationId xmlns:a16="http://schemas.microsoft.com/office/drawing/2014/main" id="{2D346543-CF02-E576-492E-71F2BF3EA493}"/>
            </a:ext>
          </a:extLst>
        </xdr:cNvPr>
        <xdr:cNvPicPr>
          <a:picLocks noChangeAspect="1"/>
        </xdr:cNvPicPr>
      </xdr:nvPicPr>
      <xdr:blipFill rotWithShape="1">
        <a:blip xmlns:r="http://schemas.openxmlformats.org/officeDocument/2006/relationships" r:embed="rId1"/>
        <a:srcRect l="812" t="15158" r="8242" b="4482"/>
        <a:stretch>
          <a:fillRect/>
        </a:stretch>
      </xdr:blipFill>
      <xdr:spPr>
        <a:xfrm>
          <a:off x="67234" y="7138146"/>
          <a:ext cx="7956178" cy="395441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0</xdr:col>
      <xdr:colOff>44823</xdr:colOff>
      <xdr:row>29</xdr:row>
      <xdr:rowOff>156881</xdr:rowOff>
    </xdr:from>
    <xdr:to>
      <xdr:col>5</xdr:col>
      <xdr:colOff>101683</xdr:colOff>
      <xdr:row>51</xdr:row>
      <xdr:rowOff>112057</xdr:rowOff>
    </xdr:to>
    <xdr:pic>
      <xdr:nvPicPr>
        <xdr:cNvPr id="3" name="Billede 2">
          <a:extLst>
            <a:ext uri="{FF2B5EF4-FFF2-40B4-BE49-F238E27FC236}">
              <a16:creationId xmlns:a16="http://schemas.microsoft.com/office/drawing/2014/main" id="{E1E6BD54-FF2C-CCC5-6FA6-9015D2A10EE5}"/>
            </a:ext>
          </a:extLst>
        </xdr:cNvPr>
        <xdr:cNvPicPr>
          <a:picLocks noChangeAspect="1"/>
        </xdr:cNvPicPr>
      </xdr:nvPicPr>
      <xdr:blipFill rotWithShape="1">
        <a:blip xmlns:r="http://schemas.openxmlformats.org/officeDocument/2006/relationships" r:embed="rId1"/>
        <a:srcRect l="541" t="11549" r="8107" b="7370"/>
        <a:stretch>
          <a:fillRect/>
        </a:stretch>
      </xdr:blipFill>
      <xdr:spPr>
        <a:xfrm>
          <a:off x="44823" y="6958852"/>
          <a:ext cx="8125095" cy="4056529"/>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0</xdr:col>
      <xdr:colOff>0</xdr:colOff>
      <xdr:row>28</xdr:row>
      <xdr:rowOff>0</xdr:rowOff>
    </xdr:from>
    <xdr:to>
      <xdr:col>4</xdr:col>
      <xdr:colOff>829235</xdr:colOff>
      <xdr:row>50</xdr:row>
      <xdr:rowOff>15749</xdr:rowOff>
    </xdr:to>
    <xdr:pic>
      <xdr:nvPicPr>
        <xdr:cNvPr id="2" name="Billede 1">
          <a:extLst>
            <a:ext uri="{FF2B5EF4-FFF2-40B4-BE49-F238E27FC236}">
              <a16:creationId xmlns:a16="http://schemas.microsoft.com/office/drawing/2014/main" id="{1F950D29-D498-4739-BCAF-A730F8E08984}"/>
            </a:ext>
          </a:extLst>
        </xdr:cNvPr>
        <xdr:cNvPicPr>
          <a:picLocks noChangeAspect="1"/>
        </xdr:cNvPicPr>
      </xdr:nvPicPr>
      <xdr:blipFill rotWithShape="1">
        <a:blip xmlns:r="http://schemas.openxmlformats.org/officeDocument/2006/relationships" r:embed="rId1"/>
        <a:srcRect l="271" t="11548" r="10272" b="6408"/>
        <a:stretch>
          <a:fillRect/>
        </a:stretch>
      </xdr:blipFill>
      <xdr:spPr>
        <a:xfrm>
          <a:off x="0" y="6454588"/>
          <a:ext cx="8045823" cy="415072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0</xdr:col>
      <xdr:colOff>33618</xdr:colOff>
      <xdr:row>29</xdr:row>
      <xdr:rowOff>145676</xdr:rowOff>
    </xdr:from>
    <xdr:to>
      <xdr:col>4</xdr:col>
      <xdr:colOff>705971</xdr:colOff>
      <xdr:row>54</xdr:row>
      <xdr:rowOff>71143</xdr:rowOff>
    </xdr:to>
    <xdr:pic>
      <xdr:nvPicPr>
        <xdr:cNvPr id="2" name="Billede 1">
          <a:extLst>
            <a:ext uri="{FF2B5EF4-FFF2-40B4-BE49-F238E27FC236}">
              <a16:creationId xmlns:a16="http://schemas.microsoft.com/office/drawing/2014/main" id="{D0F6FC68-A003-0A9C-D352-FBD4D752FD2F}"/>
            </a:ext>
          </a:extLst>
        </xdr:cNvPr>
        <xdr:cNvPicPr>
          <a:picLocks noChangeAspect="1"/>
        </xdr:cNvPicPr>
      </xdr:nvPicPr>
      <xdr:blipFill rotWithShape="1">
        <a:blip xmlns:r="http://schemas.openxmlformats.org/officeDocument/2006/relationships" r:embed="rId1"/>
        <a:srcRect l="406" t="11308" r="20422" b="7851"/>
        <a:stretch>
          <a:fillRect/>
        </a:stretch>
      </xdr:blipFill>
      <xdr:spPr>
        <a:xfrm>
          <a:off x="33618" y="6790764"/>
          <a:ext cx="7888941" cy="4531085"/>
        </a:xfrm>
        <a:prstGeom prst="rect">
          <a:avLst/>
        </a:prstGeom>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0</xdr:col>
      <xdr:colOff>33618</xdr:colOff>
      <xdr:row>29</xdr:row>
      <xdr:rowOff>112059</xdr:rowOff>
    </xdr:from>
    <xdr:to>
      <xdr:col>5</xdr:col>
      <xdr:colOff>78441</xdr:colOff>
      <xdr:row>50</xdr:row>
      <xdr:rowOff>142754</xdr:rowOff>
    </xdr:to>
    <xdr:pic>
      <xdr:nvPicPr>
        <xdr:cNvPr id="2" name="Billede 1">
          <a:extLst>
            <a:ext uri="{FF2B5EF4-FFF2-40B4-BE49-F238E27FC236}">
              <a16:creationId xmlns:a16="http://schemas.microsoft.com/office/drawing/2014/main" id="{8B822779-4B89-DC53-8401-719EB8A5BE1C}"/>
            </a:ext>
          </a:extLst>
        </xdr:cNvPr>
        <xdr:cNvPicPr>
          <a:picLocks noChangeAspect="1"/>
        </xdr:cNvPicPr>
      </xdr:nvPicPr>
      <xdr:blipFill rotWithShape="1">
        <a:blip xmlns:r="http://schemas.openxmlformats.org/officeDocument/2006/relationships" r:embed="rId1"/>
        <a:srcRect l="406" t="10586" r="5129" b="7129"/>
        <a:stretch>
          <a:fillRect/>
        </a:stretch>
      </xdr:blipFill>
      <xdr:spPr>
        <a:xfrm>
          <a:off x="33618" y="6757147"/>
          <a:ext cx="8113058" cy="3975166"/>
        </a:xfrm>
        <a:prstGeom prst="rect">
          <a:avLst/>
        </a:prstGeom>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0</xdr:col>
      <xdr:colOff>33618</xdr:colOff>
      <xdr:row>29</xdr:row>
      <xdr:rowOff>145676</xdr:rowOff>
    </xdr:from>
    <xdr:to>
      <xdr:col>5</xdr:col>
      <xdr:colOff>123265</xdr:colOff>
      <xdr:row>50</xdr:row>
      <xdr:rowOff>56406</xdr:rowOff>
    </xdr:to>
    <xdr:pic>
      <xdr:nvPicPr>
        <xdr:cNvPr id="2" name="Billede 1">
          <a:extLst>
            <a:ext uri="{FF2B5EF4-FFF2-40B4-BE49-F238E27FC236}">
              <a16:creationId xmlns:a16="http://schemas.microsoft.com/office/drawing/2014/main" id="{4CDEBD46-9A49-A089-F97B-18FDA4F05F3A}"/>
            </a:ext>
          </a:extLst>
        </xdr:cNvPr>
        <xdr:cNvPicPr>
          <a:picLocks noChangeAspect="1"/>
        </xdr:cNvPicPr>
      </xdr:nvPicPr>
      <xdr:blipFill rotWithShape="1">
        <a:blip xmlns:r="http://schemas.openxmlformats.org/officeDocument/2006/relationships" r:embed="rId1"/>
        <a:srcRect l="407" t="11308" r="3370" b="7851"/>
        <a:stretch>
          <a:fillRect/>
        </a:stretch>
      </xdr:blipFill>
      <xdr:spPr>
        <a:xfrm>
          <a:off x="33618" y="6790764"/>
          <a:ext cx="8157882" cy="385520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22412</xdr:colOff>
      <xdr:row>28</xdr:row>
      <xdr:rowOff>156883</xdr:rowOff>
    </xdr:from>
    <xdr:to>
      <xdr:col>5</xdr:col>
      <xdr:colOff>197739</xdr:colOff>
      <xdr:row>52</xdr:row>
      <xdr:rowOff>11206</xdr:rowOff>
    </xdr:to>
    <xdr:pic>
      <xdr:nvPicPr>
        <xdr:cNvPr id="2" name="Billede 1">
          <a:extLst>
            <a:ext uri="{FF2B5EF4-FFF2-40B4-BE49-F238E27FC236}">
              <a16:creationId xmlns:a16="http://schemas.microsoft.com/office/drawing/2014/main" id="{139A1B76-C4A4-6338-9FDF-B9F262C1547A}"/>
            </a:ext>
          </a:extLst>
        </xdr:cNvPr>
        <xdr:cNvPicPr>
          <a:picLocks noChangeAspect="1"/>
        </xdr:cNvPicPr>
      </xdr:nvPicPr>
      <xdr:blipFill rotWithShape="1">
        <a:blip xmlns:r="http://schemas.openxmlformats.org/officeDocument/2006/relationships" r:embed="rId1"/>
        <a:srcRect l="297" t="8169" r="7655" b="6189"/>
        <a:stretch>
          <a:fillRect/>
        </a:stretch>
      </xdr:blipFill>
      <xdr:spPr>
        <a:xfrm>
          <a:off x="22412" y="6611471"/>
          <a:ext cx="8243562" cy="4314264"/>
        </a:xfrm>
        <a:prstGeom prst="rect">
          <a:avLst/>
        </a:prstGeom>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0</xdr:col>
      <xdr:colOff>11206</xdr:colOff>
      <xdr:row>29</xdr:row>
      <xdr:rowOff>179294</xdr:rowOff>
    </xdr:from>
    <xdr:to>
      <xdr:col>5</xdr:col>
      <xdr:colOff>22412</xdr:colOff>
      <xdr:row>50</xdr:row>
      <xdr:rowOff>0</xdr:rowOff>
    </xdr:to>
    <xdr:pic>
      <xdr:nvPicPr>
        <xdr:cNvPr id="3" name="Billede 2">
          <a:extLst>
            <a:ext uri="{FF2B5EF4-FFF2-40B4-BE49-F238E27FC236}">
              <a16:creationId xmlns:a16="http://schemas.microsoft.com/office/drawing/2014/main" id="{9A905BA1-0449-A81C-FC57-150ACF8F0CDE}"/>
            </a:ext>
          </a:extLst>
        </xdr:cNvPr>
        <xdr:cNvPicPr>
          <a:picLocks noChangeAspect="1"/>
        </xdr:cNvPicPr>
      </xdr:nvPicPr>
      <xdr:blipFill rotWithShape="1">
        <a:blip xmlns:r="http://schemas.openxmlformats.org/officeDocument/2006/relationships" r:embed="rId1"/>
        <a:srcRect l="136" t="11549" r="2287" b="7610"/>
        <a:stretch>
          <a:fillRect/>
        </a:stretch>
      </xdr:blipFill>
      <xdr:spPr>
        <a:xfrm>
          <a:off x="11206" y="6824382"/>
          <a:ext cx="8079441" cy="3765177"/>
        </a:xfrm>
        <a:prstGeom prst="rect">
          <a:avLst/>
        </a:prstGeom>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0</xdr:col>
      <xdr:colOff>33618</xdr:colOff>
      <xdr:row>29</xdr:row>
      <xdr:rowOff>179294</xdr:rowOff>
    </xdr:from>
    <xdr:to>
      <xdr:col>4</xdr:col>
      <xdr:colOff>638736</xdr:colOff>
      <xdr:row>49</xdr:row>
      <xdr:rowOff>11206</xdr:rowOff>
    </xdr:to>
    <xdr:pic>
      <xdr:nvPicPr>
        <xdr:cNvPr id="2" name="Billede 1">
          <a:extLst>
            <a:ext uri="{FF2B5EF4-FFF2-40B4-BE49-F238E27FC236}">
              <a16:creationId xmlns:a16="http://schemas.microsoft.com/office/drawing/2014/main" id="{42712E5E-302F-1A5A-2242-1AE4CBBC8D06}"/>
            </a:ext>
          </a:extLst>
        </xdr:cNvPr>
        <xdr:cNvPicPr>
          <a:picLocks noChangeAspect="1"/>
        </xdr:cNvPicPr>
      </xdr:nvPicPr>
      <xdr:blipFill rotWithShape="1">
        <a:blip xmlns:r="http://schemas.openxmlformats.org/officeDocument/2006/relationships" r:embed="rId1"/>
        <a:srcRect l="406" t="12030" r="5129" b="10256"/>
        <a:stretch>
          <a:fillRect/>
        </a:stretch>
      </xdr:blipFill>
      <xdr:spPr>
        <a:xfrm>
          <a:off x="33618" y="6824382"/>
          <a:ext cx="7821706" cy="3619500"/>
        </a:xfrm>
        <a:prstGeom prst="rect">
          <a:avLst/>
        </a:prstGeom>
      </xdr:spPr>
    </xdr:pic>
    <xdr:clientData/>
  </xdr:twoCellAnchor>
</xdr:wsDr>
</file>

<file path=xl/drawings/drawing32.xml><?xml version="1.0" encoding="utf-8"?>
<xdr:wsDr xmlns:xdr="http://schemas.openxmlformats.org/drawingml/2006/spreadsheetDrawing" xmlns:a="http://schemas.openxmlformats.org/drawingml/2006/main">
  <xdr:twoCellAnchor editAs="oneCell">
    <xdr:from>
      <xdr:col>0</xdr:col>
      <xdr:colOff>67234</xdr:colOff>
      <xdr:row>33</xdr:row>
      <xdr:rowOff>0</xdr:rowOff>
    </xdr:from>
    <xdr:to>
      <xdr:col>5</xdr:col>
      <xdr:colOff>4988</xdr:colOff>
      <xdr:row>54</xdr:row>
      <xdr:rowOff>190500</xdr:rowOff>
    </xdr:to>
    <xdr:pic>
      <xdr:nvPicPr>
        <xdr:cNvPr id="2" name="Billede 1">
          <a:extLst>
            <a:ext uri="{FF2B5EF4-FFF2-40B4-BE49-F238E27FC236}">
              <a16:creationId xmlns:a16="http://schemas.microsoft.com/office/drawing/2014/main" id="{6DE3F51B-18B3-D9C1-E475-6957C8F4151B}"/>
            </a:ext>
          </a:extLst>
        </xdr:cNvPr>
        <xdr:cNvPicPr>
          <a:picLocks noChangeAspect="1"/>
        </xdr:cNvPicPr>
      </xdr:nvPicPr>
      <xdr:blipFill rotWithShape="1">
        <a:blip xmlns:r="http://schemas.openxmlformats.org/officeDocument/2006/relationships" r:embed="rId1"/>
        <a:srcRect l="368" t="11984" r="7402" b="7233"/>
        <a:stretch>
          <a:fillRect/>
        </a:stretch>
      </xdr:blipFill>
      <xdr:spPr>
        <a:xfrm>
          <a:off x="67234" y="7664824"/>
          <a:ext cx="8005989" cy="3944470"/>
        </a:xfrm>
        <a:prstGeom prst="rect">
          <a:avLst/>
        </a:prstGeom>
      </xdr:spPr>
    </xdr:pic>
    <xdr:clientData/>
  </xdr:twoCellAnchor>
</xdr:wsDr>
</file>

<file path=xl/drawings/drawing33.xml><?xml version="1.0" encoding="utf-8"?>
<xdr:wsDr xmlns:xdr="http://schemas.openxmlformats.org/drawingml/2006/spreadsheetDrawing" xmlns:a="http://schemas.openxmlformats.org/drawingml/2006/main">
  <xdr:twoCellAnchor editAs="oneCell">
    <xdr:from>
      <xdr:col>0</xdr:col>
      <xdr:colOff>44824</xdr:colOff>
      <xdr:row>29</xdr:row>
      <xdr:rowOff>145676</xdr:rowOff>
    </xdr:from>
    <xdr:to>
      <xdr:col>4</xdr:col>
      <xdr:colOff>750794</xdr:colOff>
      <xdr:row>50</xdr:row>
      <xdr:rowOff>0</xdr:rowOff>
    </xdr:to>
    <xdr:pic>
      <xdr:nvPicPr>
        <xdr:cNvPr id="2" name="Billede 1">
          <a:extLst>
            <a:ext uri="{FF2B5EF4-FFF2-40B4-BE49-F238E27FC236}">
              <a16:creationId xmlns:a16="http://schemas.microsoft.com/office/drawing/2014/main" id="{8AECF634-8903-183E-408C-7D6C7D6F733C}"/>
            </a:ext>
          </a:extLst>
        </xdr:cNvPr>
        <xdr:cNvPicPr>
          <a:picLocks noChangeAspect="1"/>
        </xdr:cNvPicPr>
      </xdr:nvPicPr>
      <xdr:blipFill rotWithShape="1">
        <a:blip xmlns:r="http://schemas.openxmlformats.org/officeDocument/2006/relationships" r:embed="rId1"/>
        <a:srcRect l="541" t="11308" r="3775" b="7129"/>
        <a:stretch>
          <a:fillRect/>
        </a:stretch>
      </xdr:blipFill>
      <xdr:spPr>
        <a:xfrm>
          <a:off x="44824" y="7070911"/>
          <a:ext cx="7922558" cy="3798795"/>
        </a:xfrm>
        <a:prstGeom prst="rect">
          <a:avLst/>
        </a:prstGeom>
      </xdr:spPr>
    </xdr:pic>
    <xdr:clientData/>
  </xdr:twoCellAnchor>
</xdr:wsDr>
</file>

<file path=xl/drawings/drawing34.xml><?xml version="1.0" encoding="utf-8"?>
<xdr:wsDr xmlns:xdr="http://schemas.openxmlformats.org/drawingml/2006/spreadsheetDrawing" xmlns:a="http://schemas.openxmlformats.org/drawingml/2006/main">
  <xdr:twoCellAnchor editAs="oneCell">
    <xdr:from>
      <xdr:col>0</xdr:col>
      <xdr:colOff>100852</xdr:colOff>
      <xdr:row>36</xdr:row>
      <xdr:rowOff>22411</xdr:rowOff>
    </xdr:from>
    <xdr:to>
      <xdr:col>5</xdr:col>
      <xdr:colOff>210630</xdr:colOff>
      <xdr:row>57</xdr:row>
      <xdr:rowOff>78441</xdr:rowOff>
    </xdr:to>
    <xdr:pic>
      <xdr:nvPicPr>
        <xdr:cNvPr id="2" name="Billede 1">
          <a:extLst>
            <a:ext uri="{FF2B5EF4-FFF2-40B4-BE49-F238E27FC236}">
              <a16:creationId xmlns:a16="http://schemas.microsoft.com/office/drawing/2014/main" id="{8B62CE9D-FD74-35B3-6074-608812E8408B}"/>
            </a:ext>
          </a:extLst>
        </xdr:cNvPr>
        <xdr:cNvPicPr>
          <a:picLocks noChangeAspect="1"/>
        </xdr:cNvPicPr>
      </xdr:nvPicPr>
      <xdr:blipFill rotWithShape="1">
        <a:blip xmlns:r="http://schemas.openxmlformats.org/officeDocument/2006/relationships" r:embed="rId1"/>
        <a:srcRect l="541" t="11789" r="5671" b="6649"/>
        <a:stretch>
          <a:fillRect/>
        </a:stretch>
      </xdr:blipFill>
      <xdr:spPr>
        <a:xfrm>
          <a:off x="100852" y="8157882"/>
          <a:ext cx="8178013" cy="4000500"/>
        </a:xfrm>
        <a:prstGeom prst="rect">
          <a:avLst/>
        </a:prstGeom>
      </xdr:spPr>
    </xdr:pic>
    <xdr:clientData/>
  </xdr:twoCellAnchor>
</xdr:wsDr>
</file>

<file path=xl/drawings/drawing35.xml><?xml version="1.0" encoding="utf-8"?>
<xdr:wsDr xmlns:xdr="http://schemas.openxmlformats.org/drawingml/2006/spreadsheetDrawing" xmlns:a="http://schemas.openxmlformats.org/drawingml/2006/main">
  <xdr:twoCellAnchor editAs="oneCell">
    <xdr:from>
      <xdr:col>0</xdr:col>
      <xdr:colOff>11205</xdr:colOff>
      <xdr:row>29</xdr:row>
      <xdr:rowOff>179294</xdr:rowOff>
    </xdr:from>
    <xdr:to>
      <xdr:col>5</xdr:col>
      <xdr:colOff>199319</xdr:colOff>
      <xdr:row>51</xdr:row>
      <xdr:rowOff>78441</xdr:rowOff>
    </xdr:to>
    <xdr:pic>
      <xdr:nvPicPr>
        <xdr:cNvPr id="2" name="Billede 1">
          <a:extLst>
            <a:ext uri="{FF2B5EF4-FFF2-40B4-BE49-F238E27FC236}">
              <a16:creationId xmlns:a16="http://schemas.microsoft.com/office/drawing/2014/main" id="{54BA60F6-D56B-3556-7CA5-2115D151AB70}"/>
            </a:ext>
          </a:extLst>
        </xdr:cNvPr>
        <xdr:cNvPicPr>
          <a:picLocks noChangeAspect="1"/>
        </xdr:cNvPicPr>
      </xdr:nvPicPr>
      <xdr:blipFill rotWithShape="1">
        <a:blip xmlns:r="http://schemas.openxmlformats.org/officeDocument/2006/relationships" r:embed="rId1"/>
        <a:srcRect l="135" t="12030" r="7971" b="8813"/>
        <a:stretch>
          <a:fillRect/>
        </a:stretch>
      </xdr:blipFill>
      <xdr:spPr>
        <a:xfrm>
          <a:off x="11205" y="6824382"/>
          <a:ext cx="8256349" cy="4000500"/>
        </a:xfrm>
        <a:prstGeom prst="rect">
          <a:avLst/>
        </a:prstGeom>
      </xdr:spPr>
    </xdr:pic>
    <xdr:clientData/>
  </xdr:twoCellAnchor>
</xdr:wsDr>
</file>

<file path=xl/drawings/drawing36.xml><?xml version="1.0" encoding="utf-8"?>
<xdr:wsDr xmlns:xdr="http://schemas.openxmlformats.org/drawingml/2006/spreadsheetDrawing" xmlns:a="http://schemas.openxmlformats.org/drawingml/2006/main">
  <xdr:twoCellAnchor editAs="oneCell">
    <xdr:from>
      <xdr:col>0</xdr:col>
      <xdr:colOff>33618</xdr:colOff>
      <xdr:row>29</xdr:row>
      <xdr:rowOff>145677</xdr:rowOff>
    </xdr:from>
    <xdr:to>
      <xdr:col>5</xdr:col>
      <xdr:colOff>15922</xdr:colOff>
      <xdr:row>50</xdr:row>
      <xdr:rowOff>134470</xdr:rowOff>
    </xdr:to>
    <xdr:pic>
      <xdr:nvPicPr>
        <xdr:cNvPr id="2" name="Billede 1">
          <a:extLst>
            <a:ext uri="{FF2B5EF4-FFF2-40B4-BE49-F238E27FC236}">
              <a16:creationId xmlns:a16="http://schemas.microsoft.com/office/drawing/2014/main" id="{DD6698FE-D097-DC84-F4DD-CEEC8644C35C}"/>
            </a:ext>
          </a:extLst>
        </xdr:cNvPr>
        <xdr:cNvPicPr>
          <a:picLocks noChangeAspect="1"/>
        </xdr:cNvPicPr>
      </xdr:nvPicPr>
      <xdr:blipFill rotWithShape="1">
        <a:blip xmlns:r="http://schemas.openxmlformats.org/officeDocument/2006/relationships" r:embed="rId1"/>
        <a:srcRect l="406" t="11308" r="4859" b="6407"/>
        <a:stretch>
          <a:fillRect/>
        </a:stretch>
      </xdr:blipFill>
      <xdr:spPr>
        <a:xfrm>
          <a:off x="33618" y="6790765"/>
          <a:ext cx="8050539" cy="3933264"/>
        </a:xfrm>
        <a:prstGeom prst="rect">
          <a:avLst/>
        </a:prstGeom>
      </xdr:spPr>
    </xdr:pic>
    <xdr:clientData/>
  </xdr:twoCellAnchor>
</xdr:wsDr>
</file>

<file path=xl/drawings/drawing37.xml><?xml version="1.0" encoding="utf-8"?>
<xdr:wsDr xmlns:xdr="http://schemas.openxmlformats.org/drawingml/2006/spreadsheetDrawing" xmlns:a="http://schemas.openxmlformats.org/drawingml/2006/main">
  <xdr:twoCellAnchor editAs="oneCell">
    <xdr:from>
      <xdr:col>0</xdr:col>
      <xdr:colOff>33617</xdr:colOff>
      <xdr:row>28</xdr:row>
      <xdr:rowOff>22414</xdr:rowOff>
    </xdr:from>
    <xdr:to>
      <xdr:col>4</xdr:col>
      <xdr:colOff>806824</xdr:colOff>
      <xdr:row>50</xdr:row>
      <xdr:rowOff>8873</xdr:rowOff>
    </xdr:to>
    <xdr:pic>
      <xdr:nvPicPr>
        <xdr:cNvPr id="2" name="Billede 1">
          <a:extLst>
            <a:ext uri="{FF2B5EF4-FFF2-40B4-BE49-F238E27FC236}">
              <a16:creationId xmlns:a16="http://schemas.microsoft.com/office/drawing/2014/main" id="{18EFDEFE-4DC8-810F-1640-5EC489FD9A45}"/>
            </a:ext>
          </a:extLst>
        </xdr:cNvPr>
        <xdr:cNvPicPr>
          <a:picLocks noChangeAspect="1"/>
        </xdr:cNvPicPr>
      </xdr:nvPicPr>
      <xdr:blipFill rotWithShape="1">
        <a:blip xmlns:r="http://schemas.openxmlformats.org/officeDocument/2006/relationships" r:embed="rId1"/>
        <a:srcRect l="612" t="11767" r="10210" b="6453"/>
        <a:stretch>
          <a:fillRect/>
        </a:stretch>
      </xdr:blipFill>
      <xdr:spPr>
        <a:xfrm>
          <a:off x="33617" y="6477002"/>
          <a:ext cx="7989795" cy="4121430"/>
        </a:xfrm>
        <a:prstGeom prst="rect">
          <a:avLst/>
        </a:prstGeom>
      </xdr:spPr>
    </xdr:pic>
    <xdr:clientData/>
  </xdr:twoCellAnchor>
</xdr:wsDr>
</file>

<file path=xl/drawings/drawing38.xml><?xml version="1.0" encoding="utf-8"?>
<xdr:wsDr xmlns:xdr="http://schemas.openxmlformats.org/drawingml/2006/spreadsheetDrawing" xmlns:a="http://schemas.openxmlformats.org/drawingml/2006/main">
  <xdr:twoCellAnchor editAs="oneCell">
    <xdr:from>
      <xdr:col>0</xdr:col>
      <xdr:colOff>0</xdr:colOff>
      <xdr:row>27</xdr:row>
      <xdr:rowOff>78439</xdr:rowOff>
    </xdr:from>
    <xdr:to>
      <xdr:col>4</xdr:col>
      <xdr:colOff>694766</xdr:colOff>
      <xdr:row>49</xdr:row>
      <xdr:rowOff>40666</xdr:rowOff>
    </xdr:to>
    <xdr:pic>
      <xdr:nvPicPr>
        <xdr:cNvPr id="2" name="Billede 1">
          <a:extLst>
            <a:ext uri="{FF2B5EF4-FFF2-40B4-BE49-F238E27FC236}">
              <a16:creationId xmlns:a16="http://schemas.microsoft.com/office/drawing/2014/main" id="{2A5F433D-7E9C-57EC-5847-7C4490C52DCD}"/>
            </a:ext>
          </a:extLst>
        </xdr:cNvPr>
        <xdr:cNvPicPr>
          <a:picLocks noChangeAspect="1"/>
        </xdr:cNvPicPr>
      </xdr:nvPicPr>
      <xdr:blipFill rotWithShape="1">
        <a:blip xmlns:r="http://schemas.openxmlformats.org/officeDocument/2006/relationships" r:embed="rId1"/>
        <a:srcRect l="613" t="11767" r="11285" b="6453"/>
        <a:stretch>
          <a:fillRect/>
        </a:stretch>
      </xdr:blipFill>
      <xdr:spPr>
        <a:xfrm>
          <a:off x="0" y="6499410"/>
          <a:ext cx="7911354" cy="4130815"/>
        </a:xfrm>
        <a:prstGeom prst="rect">
          <a:avLst/>
        </a:prstGeom>
      </xdr:spPr>
    </xdr:pic>
    <xdr:clientData/>
  </xdr:twoCellAnchor>
</xdr:wsDr>
</file>

<file path=xl/drawings/drawing39.xml><?xml version="1.0" encoding="utf-8"?>
<xdr:wsDr xmlns:xdr="http://schemas.openxmlformats.org/drawingml/2006/spreadsheetDrawing" xmlns:a="http://schemas.openxmlformats.org/drawingml/2006/main">
  <xdr:twoCellAnchor editAs="oneCell">
    <xdr:from>
      <xdr:col>0</xdr:col>
      <xdr:colOff>44824</xdr:colOff>
      <xdr:row>29</xdr:row>
      <xdr:rowOff>134470</xdr:rowOff>
    </xdr:from>
    <xdr:to>
      <xdr:col>5</xdr:col>
      <xdr:colOff>134471</xdr:colOff>
      <xdr:row>51</xdr:row>
      <xdr:rowOff>112059</xdr:rowOff>
    </xdr:to>
    <xdr:pic>
      <xdr:nvPicPr>
        <xdr:cNvPr id="2" name="Billede 1">
          <a:extLst>
            <a:ext uri="{FF2B5EF4-FFF2-40B4-BE49-F238E27FC236}">
              <a16:creationId xmlns:a16="http://schemas.microsoft.com/office/drawing/2014/main" id="{41E40117-9DC6-AB4A-2F12-2C963C7B8FBF}"/>
            </a:ext>
          </a:extLst>
        </xdr:cNvPr>
        <xdr:cNvPicPr>
          <a:picLocks noChangeAspect="1"/>
        </xdr:cNvPicPr>
      </xdr:nvPicPr>
      <xdr:blipFill rotWithShape="1">
        <a:blip xmlns:r="http://schemas.openxmlformats.org/officeDocument/2006/relationships" r:embed="rId1"/>
        <a:srcRect l="541" t="11067" r="7700" b="7369"/>
        <a:stretch>
          <a:fillRect/>
        </a:stretch>
      </xdr:blipFill>
      <xdr:spPr>
        <a:xfrm>
          <a:off x="44824" y="6779558"/>
          <a:ext cx="8157882" cy="407894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67234</xdr:colOff>
      <xdr:row>28</xdr:row>
      <xdr:rowOff>134470</xdr:rowOff>
    </xdr:from>
    <xdr:to>
      <xdr:col>4</xdr:col>
      <xdr:colOff>784411</xdr:colOff>
      <xdr:row>53</xdr:row>
      <xdr:rowOff>4817</xdr:rowOff>
    </xdr:to>
    <xdr:pic>
      <xdr:nvPicPr>
        <xdr:cNvPr id="2" name="Billede 1">
          <a:extLst>
            <a:ext uri="{FF2B5EF4-FFF2-40B4-BE49-F238E27FC236}">
              <a16:creationId xmlns:a16="http://schemas.microsoft.com/office/drawing/2014/main" id="{834A5AB5-71A5-3E9B-0731-E1460A3DB35F}"/>
            </a:ext>
          </a:extLst>
        </xdr:cNvPr>
        <xdr:cNvPicPr>
          <a:picLocks noChangeAspect="1"/>
        </xdr:cNvPicPr>
      </xdr:nvPicPr>
      <xdr:blipFill rotWithShape="1">
        <a:blip xmlns:r="http://schemas.openxmlformats.org/officeDocument/2006/relationships" r:embed="rId1"/>
        <a:srcRect l="848" t="7294" r="12277" b="4919"/>
        <a:stretch>
          <a:fillRect/>
        </a:stretch>
      </xdr:blipFill>
      <xdr:spPr>
        <a:xfrm>
          <a:off x="67234" y="6566646"/>
          <a:ext cx="7933765" cy="4509583"/>
        </a:xfrm>
        <a:prstGeom prst="rect">
          <a:avLst/>
        </a:prstGeom>
      </xdr:spPr>
    </xdr:pic>
    <xdr:clientData/>
  </xdr:twoCellAnchor>
</xdr:wsDr>
</file>

<file path=xl/drawings/drawing40.xml><?xml version="1.0" encoding="utf-8"?>
<xdr:wsDr xmlns:xdr="http://schemas.openxmlformats.org/drawingml/2006/spreadsheetDrawing" xmlns:a="http://schemas.openxmlformats.org/drawingml/2006/main">
  <xdr:twoCellAnchor editAs="oneCell">
    <xdr:from>
      <xdr:col>0</xdr:col>
      <xdr:colOff>56029</xdr:colOff>
      <xdr:row>29</xdr:row>
      <xdr:rowOff>168087</xdr:rowOff>
    </xdr:from>
    <xdr:to>
      <xdr:col>5</xdr:col>
      <xdr:colOff>186162</xdr:colOff>
      <xdr:row>51</xdr:row>
      <xdr:rowOff>100851</xdr:rowOff>
    </xdr:to>
    <xdr:pic>
      <xdr:nvPicPr>
        <xdr:cNvPr id="2" name="Billede 1">
          <a:extLst>
            <a:ext uri="{FF2B5EF4-FFF2-40B4-BE49-F238E27FC236}">
              <a16:creationId xmlns:a16="http://schemas.microsoft.com/office/drawing/2014/main" id="{1DC391C9-D2FF-4170-8306-E7AA04F68568}"/>
            </a:ext>
          </a:extLst>
        </xdr:cNvPr>
        <xdr:cNvPicPr>
          <a:picLocks noChangeAspect="1"/>
        </xdr:cNvPicPr>
      </xdr:nvPicPr>
      <xdr:blipFill rotWithShape="1">
        <a:blip xmlns:r="http://schemas.openxmlformats.org/officeDocument/2006/relationships" r:embed="rId1"/>
        <a:srcRect l="677" t="11789" r="5535" b="6167"/>
        <a:stretch>
          <a:fillRect/>
        </a:stretch>
      </xdr:blipFill>
      <xdr:spPr>
        <a:xfrm>
          <a:off x="56029" y="6970058"/>
          <a:ext cx="8198368" cy="4034117"/>
        </a:xfrm>
        <a:prstGeom prst="rect">
          <a:avLst/>
        </a:prstGeom>
      </xdr:spPr>
    </xdr:pic>
    <xdr:clientData/>
  </xdr:twoCellAnchor>
</xdr:wsDr>
</file>

<file path=xl/drawings/drawing41.xml><?xml version="1.0" encoding="utf-8"?>
<xdr:wsDr xmlns:xdr="http://schemas.openxmlformats.org/drawingml/2006/spreadsheetDrawing" xmlns:a="http://schemas.openxmlformats.org/drawingml/2006/main">
  <xdr:twoCellAnchor editAs="oneCell">
    <xdr:from>
      <xdr:col>0</xdr:col>
      <xdr:colOff>33618</xdr:colOff>
      <xdr:row>29</xdr:row>
      <xdr:rowOff>179293</xdr:rowOff>
    </xdr:from>
    <xdr:to>
      <xdr:col>5</xdr:col>
      <xdr:colOff>67236</xdr:colOff>
      <xdr:row>54</xdr:row>
      <xdr:rowOff>58630</xdr:rowOff>
    </xdr:to>
    <xdr:pic>
      <xdr:nvPicPr>
        <xdr:cNvPr id="2" name="Billede 1">
          <a:extLst>
            <a:ext uri="{FF2B5EF4-FFF2-40B4-BE49-F238E27FC236}">
              <a16:creationId xmlns:a16="http://schemas.microsoft.com/office/drawing/2014/main" id="{855F255F-C5A3-7292-F2E7-5C24C9F528CB}"/>
            </a:ext>
          </a:extLst>
        </xdr:cNvPr>
        <xdr:cNvPicPr>
          <a:picLocks noChangeAspect="1"/>
        </xdr:cNvPicPr>
      </xdr:nvPicPr>
      <xdr:blipFill rotWithShape="1">
        <a:blip xmlns:r="http://schemas.openxmlformats.org/officeDocument/2006/relationships" r:embed="rId1"/>
        <a:srcRect l="406" t="12030" r="16226" b="5926"/>
        <a:stretch>
          <a:fillRect/>
        </a:stretch>
      </xdr:blipFill>
      <xdr:spPr>
        <a:xfrm>
          <a:off x="33618" y="6824381"/>
          <a:ext cx="8101853" cy="4484955"/>
        </a:xfrm>
        <a:prstGeom prst="rect">
          <a:avLst/>
        </a:prstGeom>
      </xdr:spPr>
    </xdr:pic>
    <xdr:clientData/>
  </xdr:twoCellAnchor>
</xdr:wsDr>
</file>

<file path=xl/drawings/drawing42.xml><?xml version="1.0" encoding="utf-8"?>
<xdr:wsDr xmlns:xdr="http://schemas.openxmlformats.org/drawingml/2006/spreadsheetDrawing" xmlns:a="http://schemas.openxmlformats.org/drawingml/2006/main">
  <xdr:twoCellAnchor editAs="oneCell">
    <xdr:from>
      <xdr:col>0</xdr:col>
      <xdr:colOff>56028</xdr:colOff>
      <xdr:row>29</xdr:row>
      <xdr:rowOff>145676</xdr:rowOff>
    </xdr:from>
    <xdr:to>
      <xdr:col>4</xdr:col>
      <xdr:colOff>796892</xdr:colOff>
      <xdr:row>52</xdr:row>
      <xdr:rowOff>56029</xdr:rowOff>
    </xdr:to>
    <xdr:pic>
      <xdr:nvPicPr>
        <xdr:cNvPr id="2" name="Billede 1">
          <a:extLst>
            <a:ext uri="{FF2B5EF4-FFF2-40B4-BE49-F238E27FC236}">
              <a16:creationId xmlns:a16="http://schemas.microsoft.com/office/drawing/2014/main" id="{01359C25-02B2-9C0F-E04A-12887838FB8C}"/>
            </a:ext>
          </a:extLst>
        </xdr:cNvPr>
        <xdr:cNvPicPr>
          <a:picLocks noChangeAspect="1"/>
        </xdr:cNvPicPr>
      </xdr:nvPicPr>
      <xdr:blipFill rotWithShape="1">
        <a:blip xmlns:r="http://schemas.openxmlformats.org/officeDocument/2006/relationships" r:embed="rId1"/>
        <a:srcRect l="677" t="11308" r="10948" b="6167"/>
        <a:stretch>
          <a:fillRect/>
        </a:stretch>
      </xdr:blipFill>
      <xdr:spPr>
        <a:xfrm>
          <a:off x="56028" y="6947647"/>
          <a:ext cx="7957452" cy="4179794"/>
        </a:xfrm>
        <a:prstGeom prst="rect">
          <a:avLst/>
        </a:prstGeom>
      </xdr:spPr>
    </xdr:pic>
    <xdr:clientData/>
  </xdr:twoCellAnchor>
</xdr:wsDr>
</file>

<file path=xl/drawings/drawing43.xml><?xml version="1.0" encoding="utf-8"?>
<xdr:wsDr xmlns:xdr="http://schemas.openxmlformats.org/drawingml/2006/spreadsheetDrawing" xmlns:a="http://schemas.openxmlformats.org/drawingml/2006/main">
  <xdr:twoCellAnchor editAs="oneCell">
    <xdr:from>
      <xdr:col>0</xdr:col>
      <xdr:colOff>33617</xdr:colOff>
      <xdr:row>29</xdr:row>
      <xdr:rowOff>168089</xdr:rowOff>
    </xdr:from>
    <xdr:to>
      <xdr:col>5</xdr:col>
      <xdr:colOff>80537</xdr:colOff>
      <xdr:row>52</xdr:row>
      <xdr:rowOff>78441</xdr:rowOff>
    </xdr:to>
    <xdr:pic>
      <xdr:nvPicPr>
        <xdr:cNvPr id="2" name="Billede 1">
          <a:extLst>
            <a:ext uri="{FF2B5EF4-FFF2-40B4-BE49-F238E27FC236}">
              <a16:creationId xmlns:a16="http://schemas.microsoft.com/office/drawing/2014/main" id="{5DC3B88D-F825-40E8-DE45-8BCFF46B14B1}"/>
            </a:ext>
          </a:extLst>
        </xdr:cNvPr>
        <xdr:cNvPicPr>
          <a:picLocks noChangeAspect="1"/>
        </xdr:cNvPicPr>
      </xdr:nvPicPr>
      <xdr:blipFill rotWithShape="1">
        <a:blip xmlns:r="http://schemas.openxmlformats.org/officeDocument/2006/relationships" r:embed="rId1"/>
        <a:srcRect l="406" t="11789" r="9730" b="5927"/>
        <a:stretch>
          <a:fillRect/>
        </a:stretch>
      </xdr:blipFill>
      <xdr:spPr>
        <a:xfrm>
          <a:off x="33617" y="6981265"/>
          <a:ext cx="8115155" cy="4179794"/>
        </a:xfrm>
        <a:prstGeom prst="rect">
          <a:avLst/>
        </a:prstGeom>
      </xdr:spPr>
    </xdr:pic>
    <xdr:clientData/>
  </xdr:twoCellAnchor>
</xdr:wsDr>
</file>

<file path=xl/drawings/drawing44.xml><?xml version="1.0" encoding="utf-8"?>
<xdr:wsDr xmlns:xdr="http://schemas.openxmlformats.org/drawingml/2006/spreadsheetDrawing" xmlns:a="http://schemas.openxmlformats.org/drawingml/2006/main">
  <xdr:twoCellAnchor editAs="oneCell">
    <xdr:from>
      <xdr:col>0</xdr:col>
      <xdr:colOff>33617</xdr:colOff>
      <xdr:row>27</xdr:row>
      <xdr:rowOff>22412</xdr:rowOff>
    </xdr:from>
    <xdr:to>
      <xdr:col>5</xdr:col>
      <xdr:colOff>86045</xdr:colOff>
      <xdr:row>50</xdr:row>
      <xdr:rowOff>112058</xdr:rowOff>
    </xdr:to>
    <xdr:pic>
      <xdr:nvPicPr>
        <xdr:cNvPr id="2" name="Billede 1">
          <a:extLst>
            <a:ext uri="{FF2B5EF4-FFF2-40B4-BE49-F238E27FC236}">
              <a16:creationId xmlns:a16="http://schemas.microsoft.com/office/drawing/2014/main" id="{5AD60A80-3582-2158-1D8D-C251BF35781A}"/>
            </a:ext>
          </a:extLst>
        </xdr:cNvPr>
        <xdr:cNvPicPr>
          <a:picLocks noChangeAspect="1"/>
        </xdr:cNvPicPr>
      </xdr:nvPicPr>
      <xdr:blipFill rotWithShape="1">
        <a:blip xmlns:r="http://schemas.openxmlformats.org/officeDocument/2006/relationships" r:embed="rId1"/>
        <a:srcRect l="677" t="11549" r="15686" b="7609"/>
        <a:stretch>
          <a:fillRect/>
        </a:stretch>
      </xdr:blipFill>
      <xdr:spPr>
        <a:xfrm>
          <a:off x="33617" y="6286500"/>
          <a:ext cx="8120663" cy="4415117"/>
        </a:xfrm>
        <a:prstGeom prst="rect">
          <a:avLst/>
        </a:prstGeom>
      </xdr:spPr>
    </xdr:pic>
    <xdr:clientData/>
  </xdr:twoCellAnchor>
</xdr:wsDr>
</file>

<file path=xl/drawings/drawing45.xml><?xml version="1.0" encoding="utf-8"?>
<xdr:wsDr xmlns:xdr="http://schemas.openxmlformats.org/drawingml/2006/spreadsheetDrawing" xmlns:a="http://schemas.openxmlformats.org/drawingml/2006/main">
  <xdr:twoCellAnchor editAs="oneCell">
    <xdr:from>
      <xdr:col>0</xdr:col>
      <xdr:colOff>11206</xdr:colOff>
      <xdr:row>29</xdr:row>
      <xdr:rowOff>156882</xdr:rowOff>
    </xdr:from>
    <xdr:to>
      <xdr:col>5</xdr:col>
      <xdr:colOff>108811</xdr:colOff>
      <xdr:row>51</xdr:row>
      <xdr:rowOff>67235</xdr:rowOff>
    </xdr:to>
    <xdr:pic>
      <xdr:nvPicPr>
        <xdr:cNvPr id="2" name="Billede 1">
          <a:extLst>
            <a:ext uri="{FF2B5EF4-FFF2-40B4-BE49-F238E27FC236}">
              <a16:creationId xmlns:a16="http://schemas.microsoft.com/office/drawing/2014/main" id="{077DE547-BB24-F79F-FC79-9194AC7481DA}"/>
            </a:ext>
          </a:extLst>
        </xdr:cNvPr>
        <xdr:cNvPicPr>
          <a:picLocks noChangeAspect="1"/>
        </xdr:cNvPicPr>
      </xdr:nvPicPr>
      <xdr:blipFill rotWithShape="1">
        <a:blip xmlns:r="http://schemas.openxmlformats.org/officeDocument/2006/relationships" r:embed="rId1"/>
        <a:srcRect l="136" t="11549" r="6752" b="7129"/>
        <a:stretch>
          <a:fillRect/>
        </a:stretch>
      </xdr:blipFill>
      <xdr:spPr>
        <a:xfrm>
          <a:off x="11206" y="7126941"/>
          <a:ext cx="8165840" cy="4011706"/>
        </a:xfrm>
        <a:prstGeom prst="rect">
          <a:avLst/>
        </a:prstGeom>
      </xdr:spPr>
    </xdr:pic>
    <xdr:clientData/>
  </xdr:twoCellAnchor>
</xdr:wsDr>
</file>

<file path=xl/drawings/drawing46.xml><?xml version="1.0" encoding="utf-8"?>
<xdr:wsDr xmlns:xdr="http://schemas.openxmlformats.org/drawingml/2006/spreadsheetDrawing" xmlns:a="http://schemas.openxmlformats.org/drawingml/2006/main">
  <xdr:twoCellAnchor editAs="oneCell">
    <xdr:from>
      <xdr:col>0</xdr:col>
      <xdr:colOff>44824</xdr:colOff>
      <xdr:row>29</xdr:row>
      <xdr:rowOff>168089</xdr:rowOff>
    </xdr:from>
    <xdr:to>
      <xdr:col>4</xdr:col>
      <xdr:colOff>730628</xdr:colOff>
      <xdr:row>51</xdr:row>
      <xdr:rowOff>0</xdr:rowOff>
    </xdr:to>
    <xdr:pic>
      <xdr:nvPicPr>
        <xdr:cNvPr id="2" name="Billede 1">
          <a:extLst>
            <a:ext uri="{FF2B5EF4-FFF2-40B4-BE49-F238E27FC236}">
              <a16:creationId xmlns:a16="http://schemas.microsoft.com/office/drawing/2014/main" id="{35CC93CA-37DC-101B-4F06-8AB248E973C1}"/>
            </a:ext>
          </a:extLst>
        </xdr:cNvPr>
        <xdr:cNvPicPr>
          <a:picLocks noChangeAspect="1"/>
        </xdr:cNvPicPr>
      </xdr:nvPicPr>
      <xdr:blipFill rotWithShape="1">
        <a:blip xmlns:r="http://schemas.openxmlformats.org/officeDocument/2006/relationships" r:embed="rId1"/>
        <a:srcRect l="541" t="11788" r="10001" b="9054"/>
        <a:stretch>
          <a:fillRect/>
        </a:stretch>
      </xdr:blipFill>
      <xdr:spPr>
        <a:xfrm>
          <a:off x="44824" y="6981265"/>
          <a:ext cx="7902392" cy="393326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28</xdr:row>
      <xdr:rowOff>1</xdr:rowOff>
    </xdr:from>
    <xdr:to>
      <xdr:col>5</xdr:col>
      <xdr:colOff>181809</xdr:colOff>
      <xdr:row>49</xdr:row>
      <xdr:rowOff>78442</xdr:rowOff>
    </xdr:to>
    <xdr:pic>
      <xdr:nvPicPr>
        <xdr:cNvPr id="2" name="Billede 1">
          <a:extLst>
            <a:ext uri="{FF2B5EF4-FFF2-40B4-BE49-F238E27FC236}">
              <a16:creationId xmlns:a16="http://schemas.microsoft.com/office/drawing/2014/main" id="{8FFA8D59-7E3E-7E61-0491-DDDF6B6B8220}"/>
            </a:ext>
          </a:extLst>
        </xdr:cNvPr>
        <xdr:cNvPicPr>
          <a:picLocks noChangeAspect="1"/>
        </xdr:cNvPicPr>
      </xdr:nvPicPr>
      <xdr:blipFill>
        <a:blip xmlns:r="http://schemas.openxmlformats.org/officeDocument/2006/relationships" r:embed="rId1"/>
        <a:stretch>
          <a:fillRect/>
        </a:stretch>
      </xdr:blipFill>
      <xdr:spPr>
        <a:xfrm>
          <a:off x="0" y="6454589"/>
          <a:ext cx="8250044" cy="405652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67234</xdr:colOff>
      <xdr:row>28</xdr:row>
      <xdr:rowOff>179294</xdr:rowOff>
    </xdr:from>
    <xdr:to>
      <xdr:col>5</xdr:col>
      <xdr:colOff>280147</xdr:colOff>
      <xdr:row>52</xdr:row>
      <xdr:rowOff>94299</xdr:rowOff>
    </xdr:to>
    <xdr:pic>
      <xdr:nvPicPr>
        <xdr:cNvPr id="2" name="Billede 1">
          <a:extLst>
            <a:ext uri="{FF2B5EF4-FFF2-40B4-BE49-F238E27FC236}">
              <a16:creationId xmlns:a16="http://schemas.microsoft.com/office/drawing/2014/main" id="{C799413E-ECD1-09A6-3320-B31FCD7B7AE3}"/>
            </a:ext>
          </a:extLst>
        </xdr:cNvPr>
        <xdr:cNvPicPr>
          <a:picLocks noChangeAspect="1"/>
        </xdr:cNvPicPr>
      </xdr:nvPicPr>
      <xdr:blipFill rotWithShape="1">
        <a:blip xmlns:r="http://schemas.openxmlformats.org/officeDocument/2006/relationships" r:embed="rId1"/>
        <a:srcRect l="849" t="8302" r="9165" b="7183"/>
        <a:stretch>
          <a:fillRect/>
        </a:stretch>
      </xdr:blipFill>
      <xdr:spPr>
        <a:xfrm>
          <a:off x="67234" y="6790765"/>
          <a:ext cx="8281148" cy="437494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56029</xdr:colOff>
      <xdr:row>29</xdr:row>
      <xdr:rowOff>22412</xdr:rowOff>
    </xdr:from>
    <xdr:to>
      <xdr:col>5</xdr:col>
      <xdr:colOff>257736</xdr:colOff>
      <xdr:row>52</xdr:row>
      <xdr:rowOff>41544</xdr:rowOff>
    </xdr:to>
    <xdr:pic>
      <xdr:nvPicPr>
        <xdr:cNvPr id="3" name="Billede 2">
          <a:extLst>
            <a:ext uri="{FF2B5EF4-FFF2-40B4-BE49-F238E27FC236}">
              <a16:creationId xmlns:a16="http://schemas.microsoft.com/office/drawing/2014/main" id="{C8B8C0AD-6FC8-EBD8-D267-81C2C00387EC}"/>
            </a:ext>
          </a:extLst>
        </xdr:cNvPr>
        <xdr:cNvPicPr>
          <a:picLocks noChangeAspect="1"/>
        </xdr:cNvPicPr>
      </xdr:nvPicPr>
      <xdr:blipFill rotWithShape="1">
        <a:blip xmlns:r="http://schemas.openxmlformats.org/officeDocument/2006/relationships" r:embed="rId1"/>
        <a:srcRect l="677" t="8661" r="8241" b="7370"/>
        <a:stretch>
          <a:fillRect/>
        </a:stretch>
      </xdr:blipFill>
      <xdr:spPr>
        <a:xfrm>
          <a:off x="56029" y="6667500"/>
          <a:ext cx="8269942" cy="4288573"/>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56028</xdr:colOff>
      <xdr:row>29</xdr:row>
      <xdr:rowOff>22411</xdr:rowOff>
    </xdr:from>
    <xdr:to>
      <xdr:col>5</xdr:col>
      <xdr:colOff>241228</xdr:colOff>
      <xdr:row>51</xdr:row>
      <xdr:rowOff>168087</xdr:rowOff>
    </xdr:to>
    <xdr:pic>
      <xdr:nvPicPr>
        <xdr:cNvPr id="2" name="Billede 1">
          <a:extLst>
            <a:ext uri="{FF2B5EF4-FFF2-40B4-BE49-F238E27FC236}">
              <a16:creationId xmlns:a16="http://schemas.microsoft.com/office/drawing/2014/main" id="{6C224AE3-22F9-1508-C1CD-689C975BAE9C}"/>
            </a:ext>
          </a:extLst>
        </xdr:cNvPr>
        <xdr:cNvPicPr>
          <a:picLocks noChangeAspect="1"/>
        </xdr:cNvPicPr>
      </xdr:nvPicPr>
      <xdr:blipFill rotWithShape="1">
        <a:blip xmlns:r="http://schemas.openxmlformats.org/officeDocument/2006/relationships" r:embed="rId1"/>
        <a:srcRect l="676" t="8661" r="6483" b="6407"/>
        <a:stretch>
          <a:fillRect/>
        </a:stretch>
      </xdr:blipFill>
      <xdr:spPr>
        <a:xfrm>
          <a:off x="56028" y="6667499"/>
          <a:ext cx="8253435" cy="42470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44824</xdr:colOff>
      <xdr:row>29</xdr:row>
      <xdr:rowOff>22411</xdr:rowOff>
    </xdr:from>
    <xdr:to>
      <xdr:col>5</xdr:col>
      <xdr:colOff>181385</xdr:colOff>
      <xdr:row>48</xdr:row>
      <xdr:rowOff>123265</xdr:rowOff>
    </xdr:to>
    <xdr:pic>
      <xdr:nvPicPr>
        <xdr:cNvPr id="2" name="Billede 1">
          <a:extLst>
            <a:ext uri="{FF2B5EF4-FFF2-40B4-BE49-F238E27FC236}">
              <a16:creationId xmlns:a16="http://schemas.microsoft.com/office/drawing/2014/main" id="{BBDB9DBB-241A-6D04-3706-0CB7CA9910E3}"/>
            </a:ext>
          </a:extLst>
        </xdr:cNvPr>
        <xdr:cNvPicPr>
          <a:picLocks noChangeAspect="1"/>
        </xdr:cNvPicPr>
      </xdr:nvPicPr>
      <xdr:blipFill rotWithShape="1">
        <a:blip xmlns:r="http://schemas.openxmlformats.org/officeDocument/2006/relationships" r:embed="rId1"/>
        <a:srcRect l="541" t="8661" r="3640" b="13866"/>
        <a:stretch>
          <a:fillRect/>
        </a:stretch>
      </xdr:blipFill>
      <xdr:spPr>
        <a:xfrm>
          <a:off x="44824" y="6667499"/>
          <a:ext cx="8204796" cy="37315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0.bin"/><Relationship Id="rId1" Type="http://schemas.openxmlformats.org/officeDocument/2006/relationships/hyperlink" Target="https://maps.app.goo.gl/YuGirgQNkdVvJ9ZQA" TargetMode="External"/><Relationship Id="rId4" Type="http://schemas.openxmlformats.org/officeDocument/2006/relationships/vmlDrawing" Target="../drawings/vmlDrawing9.vm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11.bin"/><Relationship Id="rId1" Type="http://schemas.openxmlformats.org/officeDocument/2006/relationships/hyperlink" Target="https://maps.app.goo.gl/2zXTbAWRTSz1fV6TA" TargetMode="External"/><Relationship Id="rId4" Type="http://schemas.openxmlformats.org/officeDocument/2006/relationships/vmlDrawing" Target="../drawings/vmlDrawing10.vm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2.bin"/><Relationship Id="rId1" Type="http://schemas.openxmlformats.org/officeDocument/2006/relationships/hyperlink" Target="https://maps.app.goo.gl/QHG6sMNaqeLNgbek8" TargetMode="External"/><Relationship Id="rId4" Type="http://schemas.openxmlformats.org/officeDocument/2006/relationships/vmlDrawing" Target="../drawings/vmlDrawing11.v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3.bin"/><Relationship Id="rId1" Type="http://schemas.openxmlformats.org/officeDocument/2006/relationships/hyperlink" Target="https://maps.app.goo.gl/4LUsJ6jST5MmuZxo6" TargetMode="External"/><Relationship Id="rId4" Type="http://schemas.openxmlformats.org/officeDocument/2006/relationships/vmlDrawing" Target="../drawings/vmlDrawing12.v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4.bin"/><Relationship Id="rId1" Type="http://schemas.openxmlformats.org/officeDocument/2006/relationships/hyperlink" Target="https://maps.app.goo.gl/YvHXp43nxtR1vaT37" TargetMode="External"/><Relationship Id="rId4" Type="http://schemas.openxmlformats.org/officeDocument/2006/relationships/vmlDrawing" Target="../drawings/vmlDrawing13.v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2.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16.bin"/><Relationship Id="rId1" Type="http://schemas.openxmlformats.org/officeDocument/2006/relationships/hyperlink" Target="https://maps.app.goo.gl/Bhi2FANVMQX38Js48" TargetMode="External"/><Relationship Id="rId4" Type="http://schemas.openxmlformats.org/officeDocument/2006/relationships/vmlDrawing" Target="../drawings/vmlDrawing15.v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17.bin"/><Relationship Id="rId1" Type="http://schemas.openxmlformats.org/officeDocument/2006/relationships/hyperlink" Target="https://maps.app.goo.gl/9fnowTviXJmSdbW16" TargetMode="External"/><Relationship Id="rId4" Type="http://schemas.openxmlformats.org/officeDocument/2006/relationships/vmlDrawing" Target="../drawings/vmlDrawing16.v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18.bin"/><Relationship Id="rId1" Type="http://schemas.openxmlformats.org/officeDocument/2006/relationships/hyperlink" Target="https://maps.app.goo.gl/W4psPw2mxn4bAJdg6" TargetMode="External"/><Relationship Id="rId4" Type="http://schemas.openxmlformats.org/officeDocument/2006/relationships/vmlDrawing" Target="../drawings/vmlDrawing17.v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rinterSettings" Target="../printerSettings/printerSettings19.bin"/><Relationship Id="rId1" Type="http://schemas.openxmlformats.org/officeDocument/2006/relationships/hyperlink" Target="https://maps.app.goo.gl/jXZxKDX2YQvPMW3y5" TargetMode="External"/><Relationship Id="rId4" Type="http://schemas.openxmlformats.org/officeDocument/2006/relationships/vmlDrawing" Target="../drawings/vmlDrawing18.v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rinterSettings" Target="../printerSettings/printerSettings20.bin"/><Relationship Id="rId1" Type="http://schemas.openxmlformats.org/officeDocument/2006/relationships/hyperlink" Target="https://maps.app.goo.gl/QEzVkYvMA4X8ayQNA" TargetMode="External"/><Relationship Id="rId4" Type="http://schemas.openxmlformats.org/officeDocument/2006/relationships/vmlDrawing" Target="../drawings/vmlDrawing19.vm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18.xml"/><Relationship Id="rId2" Type="http://schemas.openxmlformats.org/officeDocument/2006/relationships/printerSettings" Target="../printerSettings/printerSettings21.bin"/><Relationship Id="rId1" Type="http://schemas.openxmlformats.org/officeDocument/2006/relationships/hyperlink" Target="https://maps.app.goo.gl/gEb38YK562kySQMR8" TargetMode="External"/><Relationship Id="rId4" Type="http://schemas.openxmlformats.org/officeDocument/2006/relationships/vmlDrawing" Target="../drawings/vmlDrawing20.vm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19.xml"/><Relationship Id="rId2" Type="http://schemas.openxmlformats.org/officeDocument/2006/relationships/printerSettings" Target="../printerSettings/printerSettings22.bin"/><Relationship Id="rId1" Type="http://schemas.openxmlformats.org/officeDocument/2006/relationships/hyperlink" Target="https://maps.app.goo.gl/RyvwYsUAdtoFF3B49" TargetMode="External"/><Relationship Id="rId4" Type="http://schemas.openxmlformats.org/officeDocument/2006/relationships/vmlDrawing" Target="../drawings/vmlDrawing21.vm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20.xml"/><Relationship Id="rId2" Type="http://schemas.openxmlformats.org/officeDocument/2006/relationships/printerSettings" Target="../printerSettings/printerSettings23.bin"/><Relationship Id="rId1" Type="http://schemas.openxmlformats.org/officeDocument/2006/relationships/hyperlink" Target="https://maps.app.goo.gl/QKe4Q9TiY51vHhbS8" TargetMode="External"/><Relationship Id="rId4" Type="http://schemas.openxmlformats.org/officeDocument/2006/relationships/vmlDrawing" Target="../drawings/vmlDrawing22.vml"/></Relationships>
</file>

<file path=xl/worksheets/_rels/sheet24.xml.rels><?xml version="1.0" encoding="UTF-8" standalone="yes"?>
<Relationships xmlns="http://schemas.openxmlformats.org/package/2006/relationships"><Relationship Id="rId3" Type="http://schemas.openxmlformats.org/officeDocument/2006/relationships/drawing" Target="../drawings/drawing21.xml"/><Relationship Id="rId2" Type="http://schemas.openxmlformats.org/officeDocument/2006/relationships/printerSettings" Target="../printerSettings/printerSettings24.bin"/><Relationship Id="rId1" Type="http://schemas.openxmlformats.org/officeDocument/2006/relationships/hyperlink" Target="https://maps.app.goo.gl/RW79jTkk2aNz5FGm8" TargetMode="External"/><Relationship Id="rId4" Type="http://schemas.openxmlformats.org/officeDocument/2006/relationships/vmlDrawing" Target="../drawings/vmlDrawing23.vm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22.xml"/><Relationship Id="rId2" Type="http://schemas.openxmlformats.org/officeDocument/2006/relationships/printerSettings" Target="../printerSettings/printerSettings25.bin"/><Relationship Id="rId1" Type="http://schemas.openxmlformats.org/officeDocument/2006/relationships/hyperlink" Target="https://maps.app.goo.gl/2e9oaj2VoQvvtAeJ6" TargetMode="External"/><Relationship Id="rId4" Type="http://schemas.openxmlformats.org/officeDocument/2006/relationships/vmlDrawing" Target="../drawings/vmlDrawing24.vm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23.xml"/><Relationship Id="rId2" Type="http://schemas.openxmlformats.org/officeDocument/2006/relationships/printerSettings" Target="../printerSettings/printerSettings26.bin"/><Relationship Id="rId1" Type="http://schemas.openxmlformats.org/officeDocument/2006/relationships/hyperlink" Target="https://maps.app.goo.gl/a3eQRJpuvSjzYSXw5" TargetMode="External"/><Relationship Id="rId4" Type="http://schemas.openxmlformats.org/officeDocument/2006/relationships/vmlDrawing" Target="../drawings/vmlDrawing25.vml"/></Relationships>
</file>

<file path=xl/worksheets/_rels/sheet27.xml.rels><?xml version="1.0" encoding="UTF-8" standalone="yes"?>
<Relationships xmlns="http://schemas.openxmlformats.org/package/2006/relationships"><Relationship Id="rId3" Type="http://schemas.openxmlformats.org/officeDocument/2006/relationships/drawing" Target="../drawings/drawing24.xml"/><Relationship Id="rId2" Type="http://schemas.openxmlformats.org/officeDocument/2006/relationships/printerSettings" Target="../printerSettings/printerSettings27.bin"/><Relationship Id="rId1" Type="http://schemas.openxmlformats.org/officeDocument/2006/relationships/hyperlink" Target="https://maps.app.goo.gl/aJm5bytA81V91kCP8" TargetMode="External"/><Relationship Id="rId4" Type="http://schemas.openxmlformats.org/officeDocument/2006/relationships/vmlDrawing" Target="../drawings/vmlDrawing26.vm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25.xml"/><Relationship Id="rId2" Type="http://schemas.openxmlformats.org/officeDocument/2006/relationships/printerSettings" Target="../printerSettings/printerSettings28.bin"/><Relationship Id="rId1" Type="http://schemas.openxmlformats.org/officeDocument/2006/relationships/hyperlink" Target="https://maps.app.goo.gl/9PtZArXZ4k8iiBfK6" TargetMode="External"/><Relationship Id="rId4" Type="http://schemas.openxmlformats.org/officeDocument/2006/relationships/vmlDrawing" Target="../drawings/vmlDrawing27.vm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9.bin"/><Relationship Id="rId1" Type="http://schemas.openxmlformats.org/officeDocument/2006/relationships/hyperlink" Target="https://maps.app.goo.gl/ED1K6rZiLGLrnCoW7" TargetMode="External"/><Relationship Id="rId4" Type="http://schemas.openxmlformats.org/officeDocument/2006/relationships/vmlDrawing" Target="../drawings/vmlDrawing28.v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vmlDrawing" Target="../drawings/vmlDrawing2.vml"/><Relationship Id="rId7" Type="http://schemas.openxmlformats.org/officeDocument/2006/relationships/ctrlProp" Target="../ctrlProps/ctrlProp3.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3.vm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27.xml"/><Relationship Id="rId2" Type="http://schemas.openxmlformats.org/officeDocument/2006/relationships/printerSettings" Target="../printerSettings/printerSettings30.bin"/><Relationship Id="rId1" Type="http://schemas.openxmlformats.org/officeDocument/2006/relationships/hyperlink" Target="https://maps.app.goo.gl/URXEr5J7mN8cFw1r9" TargetMode="External"/><Relationship Id="rId4" Type="http://schemas.openxmlformats.org/officeDocument/2006/relationships/vmlDrawing" Target="../drawings/vmlDrawing29.vml"/></Relationships>
</file>

<file path=xl/worksheets/_rels/sheet31.xml.rels><?xml version="1.0" encoding="UTF-8" standalone="yes"?>
<Relationships xmlns="http://schemas.openxmlformats.org/package/2006/relationships"><Relationship Id="rId3" Type="http://schemas.openxmlformats.org/officeDocument/2006/relationships/drawing" Target="../drawings/drawing28.xml"/><Relationship Id="rId2" Type="http://schemas.openxmlformats.org/officeDocument/2006/relationships/printerSettings" Target="../printerSettings/printerSettings31.bin"/><Relationship Id="rId1" Type="http://schemas.openxmlformats.org/officeDocument/2006/relationships/hyperlink" Target="https://maps.app.goo.gl/7Lk3Mrpd2BML5pUr5" TargetMode="External"/><Relationship Id="rId4" Type="http://schemas.openxmlformats.org/officeDocument/2006/relationships/vmlDrawing" Target="../drawings/vmlDrawing30.vml"/></Relationships>
</file>

<file path=xl/worksheets/_rels/sheet32.xml.rels><?xml version="1.0" encoding="UTF-8" standalone="yes"?>
<Relationships xmlns="http://schemas.openxmlformats.org/package/2006/relationships"><Relationship Id="rId3" Type="http://schemas.openxmlformats.org/officeDocument/2006/relationships/drawing" Target="../drawings/drawing29.xml"/><Relationship Id="rId2" Type="http://schemas.openxmlformats.org/officeDocument/2006/relationships/printerSettings" Target="../printerSettings/printerSettings32.bin"/><Relationship Id="rId1" Type="http://schemas.openxmlformats.org/officeDocument/2006/relationships/hyperlink" Target="https://maps.app.goo.gl/4ypZeowZQgAbyM3X9" TargetMode="External"/><Relationship Id="rId4" Type="http://schemas.openxmlformats.org/officeDocument/2006/relationships/vmlDrawing" Target="../drawings/vmlDrawing31.vml"/></Relationships>
</file>

<file path=xl/worksheets/_rels/sheet33.xml.rels><?xml version="1.0" encoding="UTF-8" standalone="yes"?>
<Relationships xmlns="http://schemas.openxmlformats.org/package/2006/relationships"><Relationship Id="rId3" Type="http://schemas.openxmlformats.org/officeDocument/2006/relationships/drawing" Target="../drawings/drawing30.xml"/><Relationship Id="rId2" Type="http://schemas.openxmlformats.org/officeDocument/2006/relationships/printerSettings" Target="../printerSettings/printerSettings33.bin"/><Relationship Id="rId1" Type="http://schemas.openxmlformats.org/officeDocument/2006/relationships/hyperlink" Target="https://maps.app.goo.gl/JYh41zer5et5dDzP9" TargetMode="External"/><Relationship Id="rId4" Type="http://schemas.openxmlformats.org/officeDocument/2006/relationships/vmlDrawing" Target="../drawings/vmlDrawing32.vml"/></Relationships>
</file>

<file path=xl/worksheets/_rels/sheet34.xml.rels><?xml version="1.0" encoding="UTF-8" standalone="yes"?>
<Relationships xmlns="http://schemas.openxmlformats.org/package/2006/relationships"><Relationship Id="rId3" Type="http://schemas.openxmlformats.org/officeDocument/2006/relationships/drawing" Target="../drawings/drawing31.xml"/><Relationship Id="rId2" Type="http://schemas.openxmlformats.org/officeDocument/2006/relationships/printerSettings" Target="../printerSettings/printerSettings34.bin"/><Relationship Id="rId1" Type="http://schemas.openxmlformats.org/officeDocument/2006/relationships/hyperlink" Target="https://maps.app.goo.gl/YKVFBJ39bvDH937q9" TargetMode="External"/><Relationship Id="rId4" Type="http://schemas.openxmlformats.org/officeDocument/2006/relationships/vmlDrawing" Target="../drawings/vmlDrawing33.vml"/></Relationships>
</file>

<file path=xl/worksheets/_rels/sheet35.xml.rels><?xml version="1.0" encoding="UTF-8" standalone="yes"?>
<Relationships xmlns="http://schemas.openxmlformats.org/package/2006/relationships"><Relationship Id="rId3" Type="http://schemas.openxmlformats.org/officeDocument/2006/relationships/drawing" Target="../drawings/drawing32.xml"/><Relationship Id="rId2" Type="http://schemas.openxmlformats.org/officeDocument/2006/relationships/printerSettings" Target="../printerSettings/printerSettings35.bin"/><Relationship Id="rId1" Type="http://schemas.openxmlformats.org/officeDocument/2006/relationships/hyperlink" Target="https://maps.app.goo.gl/vCT8HBw3dyCGHa8f8" TargetMode="External"/><Relationship Id="rId4" Type="http://schemas.openxmlformats.org/officeDocument/2006/relationships/vmlDrawing" Target="../drawings/vmlDrawing34.vml"/></Relationships>
</file>

<file path=xl/worksheets/_rels/sheet36.xml.rels><?xml version="1.0" encoding="UTF-8" standalone="yes"?>
<Relationships xmlns="http://schemas.openxmlformats.org/package/2006/relationships"><Relationship Id="rId3" Type="http://schemas.openxmlformats.org/officeDocument/2006/relationships/drawing" Target="../drawings/drawing33.xml"/><Relationship Id="rId2" Type="http://schemas.openxmlformats.org/officeDocument/2006/relationships/printerSettings" Target="../printerSettings/printerSettings36.bin"/><Relationship Id="rId1" Type="http://schemas.openxmlformats.org/officeDocument/2006/relationships/hyperlink" Target="https://maps.app.goo.gl/aKeYUbhmC254ABZV8" TargetMode="External"/><Relationship Id="rId4" Type="http://schemas.openxmlformats.org/officeDocument/2006/relationships/vmlDrawing" Target="../drawings/vmlDrawing35.vml"/></Relationships>
</file>

<file path=xl/worksheets/_rels/sheet37.xml.rels><?xml version="1.0" encoding="UTF-8" standalone="yes"?>
<Relationships xmlns="http://schemas.openxmlformats.org/package/2006/relationships"><Relationship Id="rId3" Type="http://schemas.openxmlformats.org/officeDocument/2006/relationships/drawing" Target="../drawings/drawing34.xml"/><Relationship Id="rId2" Type="http://schemas.openxmlformats.org/officeDocument/2006/relationships/printerSettings" Target="../printerSettings/printerSettings37.bin"/><Relationship Id="rId1" Type="http://schemas.openxmlformats.org/officeDocument/2006/relationships/hyperlink" Target="https://maps.app.goo.gl/FHMdLwkj1A4Lazza6" TargetMode="External"/><Relationship Id="rId4" Type="http://schemas.openxmlformats.org/officeDocument/2006/relationships/vmlDrawing" Target="../drawings/vmlDrawing36.vml"/></Relationships>
</file>

<file path=xl/worksheets/_rels/sheet38.xml.rels><?xml version="1.0" encoding="UTF-8" standalone="yes"?>
<Relationships xmlns="http://schemas.openxmlformats.org/package/2006/relationships"><Relationship Id="rId3" Type="http://schemas.openxmlformats.org/officeDocument/2006/relationships/drawing" Target="../drawings/drawing35.xml"/><Relationship Id="rId2" Type="http://schemas.openxmlformats.org/officeDocument/2006/relationships/printerSettings" Target="../printerSettings/printerSettings38.bin"/><Relationship Id="rId1" Type="http://schemas.openxmlformats.org/officeDocument/2006/relationships/hyperlink" Target="https://maps.app.goo.gl/Cji7B82wQyQNLbZe7" TargetMode="External"/><Relationship Id="rId4" Type="http://schemas.openxmlformats.org/officeDocument/2006/relationships/vmlDrawing" Target="../drawings/vmlDrawing37.vml"/></Relationships>
</file>

<file path=xl/worksheets/_rels/sheet39.xml.rels><?xml version="1.0" encoding="UTF-8" standalone="yes"?>
<Relationships xmlns="http://schemas.openxmlformats.org/package/2006/relationships"><Relationship Id="rId3" Type="http://schemas.openxmlformats.org/officeDocument/2006/relationships/drawing" Target="../drawings/drawing36.xml"/><Relationship Id="rId2" Type="http://schemas.openxmlformats.org/officeDocument/2006/relationships/printerSettings" Target="../printerSettings/printerSettings39.bin"/><Relationship Id="rId1" Type="http://schemas.openxmlformats.org/officeDocument/2006/relationships/hyperlink" Target="https://maps.app.goo.gl/g41vSmpMEDsms3qX7" TargetMode="External"/><Relationship Id="rId4" Type="http://schemas.openxmlformats.org/officeDocument/2006/relationships/vmlDrawing" Target="../drawings/vmlDrawing38.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3" Type="http://schemas.openxmlformats.org/officeDocument/2006/relationships/drawing" Target="../drawings/drawing37.xml"/><Relationship Id="rId2" Type="http://schemas.openxmlformats.org/officeDocument/2006/relationships/printerSettings" Target="../printerSettings/printerSettings40.bin"/><Relationship Id="rId1" Type="http://schemas.openxmlformats.org/officeDocument/2006/relationships/hyperlink" Target="https://maps.app.goo.gl/SPSQX1aruvAfFNuA9" TargetMode="External"/><Relationship Id="rId4" Type="http://schemas.openxmlformats.org/officeDocument/2006/relationships/vmlDrawing" Target="../drawings/vmlDrawing39.vml"/></Relationships>
</file>

<file path=xl/worksheets/_rels/sheet41.xml.rels><?xml version="1.0" encoding="UTF-8" standalone="yes"?>
<Relationships xmlns="http://schemas.openxmlformats.org/package/2006/relationships"><Relationship Id="rId3" Type="http://schemas.openxmlformats.org/officeDocument/2006/relationships/drawing" Target="../drawings/drawing38.xml"/><Relationship Id="rId2" Type="http://schemas.openxmlformats.org/officeDocument/2006/relationships/printerSettings" Target="../printerSettings/printerSettings41.bin"/><Relationship Id="rId1" Type="http://schemas.openxmlformats.org/officeDocument/2006/relationships/hyperlink" Target="https://maps.app.goo.gl/rECNX7URtoGCDHmW8" TargetMode="External"/><Relationship Id="rId4" Type="http://schemas.openxmlformats.org/officeDocument/2006/relationships/vmlDrawing" Target="../drawings/vmlDrawing40.vml"/></Relationships>
</file>

<file path=xl/worksheets/_rels/sheet42.xml.rels><?xml version="1.0" encoding="UTF-8" standalone="yes"?>
<Relationships xmlns="http://schemas.openxmlformats.org/package/2006/relationships"><Relationship Id="rId3" Type="http://schemas.openxmlformats.org/officeDocument/2006/relationships/drawing" Target="../drawings/drawing39.xml"/><Relationship Id="rId2" Type="http://schemas.openxmlformats.org/officeDocument/2006/relationships/printerSettings" Target="../printerSettings/printerSettings42.bin"/><Relationship Id="rId1" Type="http://schemas.openxmlformats.org/officeDocument/2006/relationships/hyperlink" Target="https://maps.app.goo.gl/TEx3ScZm4P1Sqa3b9" TargetMode="External"/><Relationship Id="rId4" Type="http://schemas.openxmlformats.org/officeDocument/2006/relationships/vmlDrawing" Target="../drawings/vmlDrawing41.vml"/></Relationships>
</file>

<file path=xl/worksheets/_rels/sheet43.xml.rels><?xml version="1.0" encoding="UTF-8" standalone="yes"?>
<Relationships xmlns="http://schemas.openxmlformats.org/package/2006/relationships"><Relationship Id="rId3" Type="http://schemas.openxmlformats.org/officeDocument/2006/relationships/vmlDrawing" Target="../drawings/vmlDrawing42.vml"/><Relationship Id="rId2" Type="http://schemas.openxmlformats.org/officeDocument/2006/relationships/printerSettings" Target="../printerSettings/printerSettings43.bin"/><Relationship Id="rId1" Type="http://schemas.openxmlformats.org/officeDocument/2006/relationships/hyperlink" Target="https://maps.app.goo.gl/4rCzHYkLK6Hd7MJq8" TargetMode="External"/></Relationships>
</file>

<file path=xl/worksheets/_rels/sheet44.xml.rels><?xml version="1.0" encoding="UTF-8" standalone="yes"?>
<Relationships xmlns="http://schemas.openxmlformats.org/package/2006/relationships"><Relationship Id="rId3" Type="http://schemas.openxmlformats.org/officeDocument/2006/relationships/drawing" Target="../drawings/drawing40.xml"/><Relationship Id="rId2" Type="http://schemas.openxmlformats.org/officeDocument/2006/relationships/printerSettings" Target="../printerSettings/printerSettings44.bin"/><Relationship Id="rId1" Type="http://schemas.openxmlformats.org/officeDocument/2006/relationships/hyperlink" Target="https://maps.app.goo.gl/RsefX9URd1DnB3yz7" TargetMode="External"/><Relationship Id="rId4" Type="http://schemas.openxmlformats.org/officeDocument/2006/relationships/vmlDrawing" Target="../drawings/vmlDrawing43.vml"/></Relationships>
</file>

<file path=xl/worksheets/_rels/sheet45.xml.rels><?xml version="1.0" encoding="UTF-8" standalone="yes"?>
<Relationships xmlns="http://schemas.openxmlformats.org/package/2006/relationships"><Relationship Id="rId3" Type="http://schemas.openxmlformats.org/officeDocument/2006/relationships/drawing" Target="../drawings/drawing41.xml"/><Relationship Id="rId2" Type="http://schemas.openxmlformats.org/officeDocument/2006/relationships/printerSettings" Target="../printerSettings/printerSettings45.bin"/><Relationship Id="rId1" Type="http://schemas.openxmlformats.org/officeDocument/2006/relationships/hyperlink" Target="https://maps.app.goo.gl/AjDPRhqTSLjEAorp7" TargetMode="External"/><Relationship Id="rId4" Type="http://schemas.openxmlformats.org/officeDocument/2006/relationships/vmlDrawing" Target="../drawings/vmlDrawing44.vml"/></Relationships>
</file>

<file path=xl/worksheets/_rels/sheet46.xml.rels><?xml version="1.0" encoding="UTF-8" standalone="yes"?>
<Relationships xmlns="http://schemas.openxmlformats.org/package/2006/relationships"><Relationship Id="rId3" Type="http://schemas.openxmlformats.org/officeDocument/2006/relationships/drawing" Target="../drawings/drawing42.xml"/><Relationship Id="rId2" Type="http://schemas.openxmlformats.org/officeDocument/2006/relationships/printerSettings" Target="../printerSettings/printerSettings46.bin"/><Relationship Id="rId1" Type="http://schemas.openxmlformats.org/officeDocument/2006/relationships/hyperlink" Target="https://maps.app.goo.gl/3oKmFGPFPpnBA1bD7" TargetMode="External"/><Relationship Id="rId4" Type="http://schemas.openxmlformats.org/officeDocument/2006/relationships/vmlDrawing" Target="../drawings/vmlDrawing45.vml"/></Relationships>
</file>

<file path=xl/worksheets/_rels/sheet47.xml.rels><?xml version="1.0" encoding="UTF-8" standalone="yes"?>
<Relationships xmlns="http://schemas.openxmlformats.org/package/2006/relationships"><Relationship Id="rId2" Type="http://schemas.openxmlformats.org/officeDocument/2006/relationships/vmlDrawing" Target="../drawings/vmlDrawing46.vml"/><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2" Type="http://schemas.openxmlformats.org/officeDocument/2006/relationships/vmlDrawing" Target="../drawings/vmlDrawing47.vml"/><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3" Type="http://schemas.openxmlformats.org/officeDocument/2006/relationships/drawing" Target="../drawings/drawing43.xml"/><Relationship Id="rId2" Type="http://schemas.openxmlformats.org/officeDocument/2006/relationships/printerSettings" Target="../printerSettings/printerSettings49.bin"/><Relationship Id="rId1" Type="http://schemas.openxmlformats.org/officeDocument/2006/relationships/hyperlink" Target="https://maps.app.goo.gl/PysNyimM5tk65un8A" TargetMode="External"/><Relationship Id="rId4" Type="http://schemas.openxmlformats.org/officeDocument/2006/relationships/vmlDrawing" Target="../drawings/vmlDrawing48.v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5.bin"/><Relationship Id="rId1" Type="http://schemas.openxmlformats.org/officeDocument/2006/relationships/hyperlink" Target="https://maps.app.goo.gl/vx67BpYqvwxBiA698" TargetMode="External"/><Relationship Id="rId4" Type="http://schemas.openxmlformats.org/officeDocument/2006/relationships/vmlDrawing" Target="../drawings/vmlDrawing4.vml"/></Relationships>
</file>

<file path=xl/worksheets/_rels/sheet50.xml.rels><?xml version="1.0" encoding="UTF-8" standalone="yes"?>
<Relationships xmlns="http://schemas.openxmlformats.org/package/2006/relationships"><Relationship Id="rId3" Type="http://schemas.openxmlformats.org/officeDocument/2006/relationships/drawing" Target="../drawings/drawing44.xml"/><Relationship Id="rId2" Type="http://schemas.openxmlformats.org/officeDocument/2006/relationships/printerSettings" Target="../printerSettings/printerSettings50.bin"/><Relationship Id="rId1" Type="http://schemas.openxmlformats.org/officeDocument/2006/relationships/hyperlink" Target="https://maps.app.goo.gl/XAFjBN9YXHqYD5c39" TargetMode="External"/><Relationship Id="rId4" Type="http://schemas.openxmlformats.org/officeDocument/2006/relationships/vmlDrawing" Target="../drawings/vmlDrawing49.vml"/></Relationships>
</file>

<file path=xl/worksheets/_rels/sheet51.xml.rels><?xml version="1.0" encoding="UTF-8" standalone="yes"?>
<Relationships xmlns="http://schemas.openxmlformats.org/package/2006/relationships"><Relationship Id="rId3" Type="http://schemas.openxmlformats.org/officeDocument/2006/relationships/drawing" Target="../drawings/drawing45.xml"/><Relationship Id="rId2" Type="http://schemas.openxmlformats.org/officeDocument/2006/relationships/printerSettings" Target="../printerSettings/printerSettings51.bin"/><Relationship Id="rId1" Type="http://schemas.openxmlformats.org/officeDocument/2006/relationships/hyperlink" Target="https://maps.app.goo.gl/dmKcRjYHH8Uz2H8i7" TargetMode="External"/><Relationship Id="rId4" Type="http://schemas.openxmlformats.org/officeDocument/2006/relationships/vmlDrawing" Target="../drawings/vmlDrawing50.vml"/></Relationships>
</file>

<file path=xl/worksheets/_rels/sheet52.xml.rels><?xml version="1.0" encoding="UTF-8" standalone="yes"?>
<Relationships xmlns="http://schemas.openxmlformats.org/package/2006/relationships"><Relationship Id="rId3" Type="http://schemas.openxmlformats.org/officeDocument/2006/relationships/drawing" Target="../drawings/drawing46.xml"/><Relationship Id="rId2" Type="http://schemas.openxmlformats.org/officeDocument/2006/relationships/printerSettings" Target="../printerSettings/printerSettings52.bin"/><Relationship Id="rId1" Type="http://schemas.openxmlformats.org/officeDocument/2006/relationships/hyperlink" Target="https://maps.app.goo.gl/bGtkB4SL7c4i8QaW9" TargetMode="External"/><Relationship Id="rId4" Type="http://schemas.openxmlformats.org/officeDocument/2006/relationships/vmlDrawing" Target="../drawings/vmlDrawing51.vm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hyperlink" Target="https://maps.app.goo.gl/gZkpLNRSFRHR5oNU6" TargetMode="External"/><Relationship Id="rId4"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7.bin"/><Relationship Id="rId1" Type="http://schemas.openxmlformats.org/officeDocument/2006/relationships/hyperlink" Target="https://maps.app.goo.gl/E3MguPYUPh9ntucq8" TargetMode="External"/><Relationship Id="rId4"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8.bin"/><Relationship Id="rId1" Type="http://schemas.openxmlformats.org/officeDocument/2006/relationships/hyperlink" Target="https://maps.app.goo.gl/YqJfVdUhnwpiveot6" TargetMode="External"/><Relationship Id="rId4"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9.bin"/><Relationship Id="rId1" Type="http://schemas.openxmlformats.org/officeDocument/2006/relationships/hyperlink" Target="https://maps.app.goo.gl/ACCmmnFCXZYMTuvK9" TargetMode="External"/><Relationship Id="rId4"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2"/>
  <dimension ref="A1:AW197"/>
  <sheetViews>
    <sheetView tabSelected="1" zoomScale="70" zoomScaleNormal="70" workbookViewId="0">
      <selection activeCell="E16" sqref="E16"/>
    </sheetView>
  </sheetViews>
  <sheetFormatPr defaultRowHeight="15" customHeight="1" x14ac:dyDescent="0.25"/>
  <cols>
    <col min="1" max="1" width="9.453125" customWidth="1"/>
    <col min="2" max="2" width="34.54296875" customWidth="1"/>
    <col min="3" max="3" width="19.7265625" customWidth="1"/>
    <col min="4" max="4" width="4.54296875" customWidth="1"/>
    <col min="5" max="5" width="8.54296875" customWidth="1"/>
    <col min="6" max="6" width="50.54296875" bestFit="1" customWidth="1"/>
    <col min="7" max="7" width="18.7265625" bestFit="1" customWidth="1"/>
    <col min="8" max="8" width="5.7265625" customWidth="1"/>
    <col min="9" max="9" width="5" customWidth="1"/>
    <col min="10" max="10" width="36.26953125" bestFit="1" customWidth="1"/>
    <col min="11" max="11" width="18.7265625" bestFit="1" customWidth="1"/>
    <col min="12" max="12" width="5" customWidth="1"/>
    <col min="13" max="13" width="4.81640625" customWidth="1"/>
    <col min="14" max="14" width="21.26953125" bestFit="1" customWidth="1"/>
    <col min="15" max="16" width="18.7265625" bestFit="1" customWidth="1"/>
    <col min="18" max="18" width="80.453125" bestFit="1" customWidth="1"/>
    <col min="19" max="19" width="6.7265625" bestFit="1" customWidth="1"/>
    <col min="20" max="20" width="10.81640625" bestFit="1" customWidth="1"/>
    <col min="35" max="37" width="9.1796875" customWidth="1"/>
    <col min="38" max="38" width="9.1796875" hidden="1" customWidth="1"/>
    <col min="39" max="39" width="17.81640625" hidden="1" customWidth="1"/>
    <col min="40" max="41" width="19.54296875" hidden="1" customWidth="1"/>
    <col min="42" max="42" width="17.81640625" hidden="1" customWidth="1"/>
    <col min="43" max="44" width="19.54296875" hidden="1" customWidth="1"/>
    <col min="45" max="45" width="17.81640625" hidden="1" customWidth="1"/>
    <col min="46" max="47" width="19.54296875" hidden="1" customWidth="1"/>
    <col min="48" max="48" width="17.54296875" hidden="1" customWidth="1"/>
    <col min="49" max="49" width="19.54296875" hidden="1" customWidth="1"/>
    <col min="50" max="50" width="9.1796875" customWidth="1"/>
  </cols>
  <sheetData>
    <row r="1" spans="1:49" ht="25" x14ac:dyDescent="0.5">
      <c r="A1" s="89" t="s">
        <v>22</v>
      </c>
    </row>
    <row r="2" spans="1:49" ht="15" customHeight="1" thickBot="1" x14ac:dyDescent="0.3"/>
    <row r="3" spans="1:49" ht="15" customHeight="1" thickBot="1" x14ac:dyDescent="0.4">
      <c r="A3" s="179"/>
      <c r="B3" s="180" t="s">
        <v>14</v>
      </c>
      <c r="C3" s="180"/>
      <c r="D3" s="180"/>
      <c r="E3" s="181" t="s">
        <v>1</v>
      </c>
    </row>
    <row r="4" spans="1:49" ht="15" customHeight="1" x14ac:dyDescent="0.3">
      <c r="A4" s="182">
        <v>1</v>
      </c>
      <c r="B4" s="244" t="s">
        <v>112</v>
      </c>
      <c r="C4" s="245"/>
      <c r="D4" s="245"/>
      <c r="E4" s="106">
        <f>SUM(E5:E9)</f>
        <v>0.25</v>
      </c>
    </row>
    <row r="5" spans="1:49" ht="15" customHeight="1" x14ac:dyDescent="0.25">
      <c r="A5" s="183" t="s">
        <v>113</v>
      </c>
      <c r="B5" s="240" t="s">
        <v>114</v>
      </c>
      <c r="C5" s="241"/>
      <c r="D5" s="241"/>
      <c r="E5" s="53">
        <v>0.05</v>
      </c>
    </row>
    <row r="6" spans="1:49" ht="15" customHeight="1" x14ac:dyDescent="0.25">
      <c r="A6" s="183" t="s">
        <v>115</v>
      </c>
      <c r="B6" s="240" t="s">
        <v>116</v>
      </c>
      <c r="C6" s="241"/>
      <c r="D6" s="241"/>
      <c r="E6" s="53">
        <v>0.05</v>
      </c>
    </row>
    <row r="7" spans="1:49" ht="15" customHeight="1" x14ac:dyDescent="0.3">
      <c r="A7" s="183" t="s">
        <v>117</v>
      </c>
      <c r="B7" s="240" t="s">
        <v>118</v>
      </c>
      <c r="C7" s="241"/>
      <c r="D7" s="241"/>
      <c r="E7" s="53">
        <v>0.05</v>
      </c>
      <c r="G7" s="184" t="s">
        <v>33</v>
      </c>
      <c r="H7" s="235">
        <v>1.8</v>
      </c>
    </row>
    <row r="8" spans="1:49" ht="15" customHeight="1" x14ac:dyDescent="0.3">
      <c r="A8" s="183" t="s">
        <v>119</v>
      </c>
      <c r="B8" s="240" t="s">
        <v>120</v>
      </c>
      <c r="C8" s="241"/>
      <c r="D8" s="241"/>
      <c r="E8" s="53">
        <v>0.05</v>
      </c>
      <c r="G8" s="185" t="s">
        <v>34</v>
      </c>
      <c r="H8" s="236">
        <v>1.35</v>
      </c>
    </row>
    <row r="9" spans="1:49" ht="15" customHeight="1" thickBot="1" x14ac:dyDescent="0.35">
      <c r="A9" s="183" t="s">
        <v>121</v>
      </c>
      <c r="B9" s="248" t="s">
        <v>122</v>
      </c>
      <c r="C9" s="249"/>
      <c r="D9" s="249"/>
      <c r="E9" s="53">
        <v>0.05</v>
      </c>
      <c r="G9" s="186" t="s">
        <v>35</v>
      </c>
      <c r="H9" s="237">
        <v>0.75</v>
      </c>
    </row>
    <row r="10" spans="1:49" ht="15" customHeight="1" x14ac:dyDescent="0.3">
      <c r="A10" s="187">
        <v>2</v>
      </c>
      <c r="B10" s="244" t="s">
        <v>123</v>
      </c>
      <c r="C10" s="245"/>
      <c r="D10" s="245"/>
      <c r="E10" s="106">
        <f>SUM(E11:E13)</f>
        <v>0.25</v>
      </c>
    </row>
    <row r="11" spans="1:49" ht="15" customHeight="1" x14ac:dyDescent="0.25">
      <c r="A11" s="183" t="s">
        <v>124</v>
      </c>
      <c r="B11" s="240" t="s">
        <v>125</v>
      </c>
      <c r="C11" s="241"/>
      <c r="D11" s="241"/>
      <c r="E11" s="53">
        <v>0.1</v>
      </c>
    </row>
    <row r="12" spans="1:49" ht="15" customHeight="1" x14ac:dyDescent="0.25">
      <c r="A12" s="183" t="s">
        <v>126</v>
      </c>
      <c r="B12" s="240" t="s">
        <v>127</v>
      </c>
      <c r="C12" s="241"/>
      <c r="D12" s="241"/>
      <c r="E12" s="54">
        <v>0.1</v>
      </c>
    </row>
    <row r="13" spans="1:49" ht="15" customHeight="1" thickBot="1" x14ac:dyDescent="0.3">
      <c r="A13" s="188" t="s">
        <v>128</v>
      </c>
      <c r="B13" s="242" t="s">
        <v>129</v>
      </c>
      <c r="C13" s="243"/>
      <c r="D13" s="243"/>
      <c r="E13" s="239">
        <v>0.05</v>
      </c>
    </row>
    <row r="14" spans="1:49" ht="15" customHeight="1" x14ac:dyDescent="0.3">
      <c r="A14" s="182">
        <v>3</v>
      </c>
      <c r="B14" s="246" t="s">
        <v>130</v>
      </c>
      <c r="C14" s="247"/>
      <c r="D14" s="247"/>
      <c r="E14" s="55">
        <f>SUM(E15:E17)</f>
        <v>0.5</v>
      </c>
    </row>
    <row r="15" spans="1:49" ht="15" customHeight="1" x14ac:dyDescent="0.3">
      <c r="A15" s="183" t="s">
        <v>131</v>
      </c>
      <c r="B15" s="240" t="s">
        <v>132</v>
      </c>
      <c r="C15" s="241"/>
      <c r="D15" s="241"/>
      <c r="E15" s="238">
        <v>0.25</v>
      </c>
      <c r="AL15" s="165"/>
      <c r="AM15" s="166" t="s">
        <v>36</v>
      </c>
      <c r="AN15" s="166"/>
      <c r="AO15" s="170"/>
      <c r="AP15" s="170" t="s">
        <v>37</v>
      </c>
      <c r="AQ15" s="170"/>
      <c r="AR15" s="173"/>
      <c r="AS15" s="173" t="s">
        <v>38</v>
      </c>
      <c r="AT15" s="173"/>
      <c r="AU15" s="176"/>
      <c r="AV15" s="176" t="s">
        <v>39</v>
      </c>
      <c r="AW15" s="177"/>
    </row>
    <row r="16" spans="1:49" ht="15" customHeight="1" x14ac:dyDescent="0.25">
      <c r="A16" s="183" t="s">
        <v>133</v>
      </c>
      <c r="B16" s="240" t="s">
        <v>134</v>
      </c>
      <c r="C16" s="241"/>
      <c r="D16" s="241"/>
      <c r="E16" s="238">
        <v>0.05</v>
      </c>
      <c r="AL16" s="165"/>
      <c r="AM16" s="165"/>
      <c r="AN16" s="165"/>
      <c r="AO16" s="159"/>
      <c r="AP16" s="159"/>
      <c r="AQ16" s="159"/>
      <c r="AR16" s="174"/>
      <c r="AS16" s="174"/>
      <c r="AT16" s="174"/>
      <c r="AU16" s="177"/>
      <c r="AV16" s="177"/>
      <c r="AW16" s="177"/>
    </row>
    <row r="17" spans="1:49" ht="15" customHeight="1" thickBot="1" x14ac:dyDescent="0.3">
      <c r="A17" s="183" t="s">
        <v>135</v>
      </c>
      <c r="B17" s="242" t="s">
        <v>136</v>
      </c>
      <c r="C17" s="243"/>
      <c r="D17" s="243"/>
      <c r="E17" s="54">
        <v>0.2</v>
      </c>
      <c r="AL17" s="167" t="s">
        <v>44</v>
      </c>
      <c r="AM17" s="165" t="str">
        <f>Prioritering!E12</f>
        <v>Projektnavn:</v>
      </c>
      <c r="AN17" s="165" t="str">
        <f>Prioritering!G12</f>
        <v>Anlægsudgift mio. kr.</v>
      </c>
      <c r="AO17" s="171" t="s">
        <v>44</v>
      </c>
      <c r="AP17" s="159" t="str">
        <f>Prioritering!E12</f>
        <v>Projektnavn:</v>
      </c>
      <c r="AQ17" s="159" t="str">
        <f>Prioritering!G12</f>
        <v>Anlægsudgift mio. kr.</v>
      </c>
      <c r="AR17" s="175" t="s">
        <v>44</v>
      </c>
      <c r="AS17" s="174" t="str">
        <f>Prioritering!E12</f>
        <v>Projektnavn:</v>
      </c>
      <c r="AT17" s="174" t="str">
        <f>Prioritering!G12</f>
        <v>Anlægsudgift mio. kr.</v>
      </c>
      <c r="AU17" s="178" t="s">
        <v>44</v>
      </c>
      <c r="AV17" s="177" t="str">
        <f>Prioritering!E12</f>
        <v>Projektnavn:</v>
      </c>
      <c r="AW17" s="177" t="str">
        <f>Prioritering!G12</f>
        <v>Anlægsudgift mio. kr.</v>
      </c>
    </row>
    <row r="18" spans="1:49" ht="15" customHeight="1" thickBot="1" x14ac:dyDescent="0.4">
      <c r="A18" s="179"/>
      <c r="B18" s="189" t="s">
        <v>13</v>
      </c>
      <c r="C18" s="180"/>
      <c r="D18" s="180"/>
      <c r="E18" s="56" t="str">
        <f>IF(SUM(E4:E17)-E4-E10-E14=1,"100%","Forkert vægtning")</f>
        <v>100%</v>
      </c>
      <c r="AL18" s="165">
        <f t="shared" ref="AL18" ca="1" si="0">IF(AM18="","",1)</f>
        <v>1</v>
      </c>
      <c r="AM18" s="165" t="str">
        <f ca="1">IF(Prioritering!K14&gt;=Forside!H$7,Prioritering!E14,"")</f>
        <v>Thorsagervej ml byzonetavle og Vestergade</v>
      </c>
      <c r="AN18" s="165">
        <f ca="1">IF(AM18="","",Prioritering!G14)</f>
        <v>0</v>
      </c>
      <c r="AO18" s="159" t="str">
        <f ca="1">IF(AP18="","",1)</f>
        <v/>
      </c>
      <c r="AP18" s="172" t="str">
        <f ca="1">IF(Prioritering!K14&gt;=Forside!H$8,IF(Prioritering!K14&lt;H$7,Prioritering!E14,""),"")</f>
        <v/>
      </c>
      <c r="AQ18" s="159" t="str">
        <f ca="1">IF(AP18="","",Prioritering!G14)</f>
        <v/>
      </c>
      <c r="AR18" s="174" t="str">
        <f ca="1">IF(AS18="","",1)</f>
        <v/>
      </c>
      <c r="AS18" s="174" t="str">
        <f ca="1">IF(Prioritering!K14&gt;=Forside!H$9,IF(Prioritering!K14&lt;H$8,Prioritering!E14,""),"")</f>
        <v/>
      </c>
      <c r="AT18" s="174" t="str">
        <f ca="1">IF(AS18="","",Prioritering!G14)</f>
        <v/>
      </c>
      <c r="AU18" s="177" t="str">
        <f ca="1">IF(AV18="","",1)</f>
        <v/>
      </c>
      <c r="AV18" s="177" t="str">
        <f ca="1">IF(Prioritering!K14&lt;Forside!H$9,Prioritering!E14,"")</f>
        <v/>
      </c>
      <c r="AW18" s="177" t="str">
        <f ca="1">IF(AV18="","",Prioritering!G14)</f>
        <v/>
      </c>
    </row>
    <row r="19" spans="1:49" ht="15" customHeight="1" x14ac:dyDescent="0.25">
      <c r="AL19" s="165">
        <f ca="1">IF(AM19="","",COUNT(AL18)+1)</f>
        <v>2</v>
      </c>
      <c r="AM19" s="165" t="str">
        <f ca="1">IF(Prioritering!K15&gt;=Forside!H$7,Prioritering!E15,"")</f>
        <v>Dråbyvej</v>
      </c>
      <c r="AN19" s="165">
        <f ca="1">IF(AM19="","",Prioritering!G15)</f>
        <v>10.557499999999999</v>
      </c>
      <c r="AO19" s="159" t="str">
        <f ca="1">IF(AP19="","",COUNT(AO18)+1)</f>
        <v/>
      </c>
      <c r="AP19" s="172" t="str">
        <f ca="1">IF(Prioritering!K15&gt;=Forside!H$8,IF(Prioritering!K15&lt;H$7,Prioritering!E15,""),"")</f>
        <v/>
      </c>
      <c r="AQ19" s="159" t="str">
        <f ca="1">IF(AP19="","",Prioritering!G15)</f>
        <v/>
      </c>
      <c r="AR19" s="174" t="str">
        <f ca="1">IF(AS19="","",COUNT(AR18)+1)</f>
        <v/>
      </c>
      <c r="AS19" s="174" t="str">
        <f ca="1">IF(Prioritering!K15&gt;=Forside!H$9,IF(Prioritering!K15&lt;H$8,Prioritering!E15,""),"")</f>
        <v/>
      </c>
      <c r="AT19" s="174" t="str">
        <f ca="1">IF(AS19="","",Prioritering!G15)</f>
        <v/>
      </c>
      <c r="AU19" s="177" t="str">
        <f ca="1">IF(AV19="","",COUNT(AU18)+1)</f>
        <v/>
      </c>
      <c r="AV19" s="177" t="str">
        <f ca="1">IF(Prioritering!K15&lt;Forside!H$9,Prioritering!E15,"")</f>
        <v/>
      </c>
      <c r="AW19" s="177" t="str">
        <f ca="1">IF(AV19="","",Prioritering!G15)</f>
        <v/>
      </c>
    </row>
    <row r="20" spans="1:49" ht="15" customHeight="1" x14ac:dyDescent="0.25">
      <c r="A20" s="17"/>
      <c r="Q20" s="17"/>
      <c r="AL20" s="165">
        <f ca="1">IF(AM20="","",COUNT(AL$18:AL19)+1)</f>
        <v>3</v>
      </c>
      <c r="AM20" s="165" t="str">
        <f ca="1">IF(Prioritering!K16&gt;=Forside!H$7,Prioritering!E16,"")</f>
        <v>Hornslet - sti langs banen</v>
      </c>
      <c r="AN20" s="165">
        <f ca="1">IF(AM20="","",Prioritering!G16)</f>
        <v>2.8968750000000001</v>
      </c>
      <c r="AO20" s="159" t="str">
        <f ca="1">IF(AP20="","",COUNT(AO$18:AO19)+1)</f>
        <v/>
      </c>
      <c r="AP20" s="172" t="str">
        <f ca="1">IF(Prioritering!K16&gt;=Forside!H$8,IF(Prioritering!K16&lt;H$7,Prioritering!E16,""),"")</f>
        <v/>
      </c>
      <c r="AQ20" s="159" t="str">
        <f ca="1">IF(AP20="","",Prioritering!G16)</f>
        <v/>
      </c>
      <c r="AR20" s="174" t="str">
        <f ca="1">IF(AS20="","",COUNT(AR$18:AR19)+1)</f>
        <v/>
      </c>
      <c r="AS20" s="174" t="str">
        <f ca="1">IF(Prioritering!K16&gt;=Forside!H$9,IF(Prioritering!K16&lt;H$8,Prioritering!E16,""),"")</f>
        <v/>
      </c>
      <c r="AT20" s="174" t="str">
        <f ca="1">IF(AS20="","",Prioritering!G16)</f>
        <v/>
      </c>
      <c r="AU20" s="177" t="str">
        <f ca="1">IF(AV20="","",COUNT(AU$18:AU19)+1)</f>
        <v/>
      </c>
      <c r="AV20" s="177" t="str">
        <f ca="1">IF(Prioritering!K16&lt;Forside!H$9,Prioritering!E16,"")</f>
        <v/>
      </c>
      <c r="AW20" s="177" t="str">
        <f ca="1">IF(AV20="","",Prioritering!G16)</f>
        <v/>
      </c>
    </row>
    <row r="21" spans="1:49" ht="15" customHeight="1" x14ac:dyDescent="0.25">
      <c r="AL21" s="165">
        <f ca="1">IF(AM21="","",COUNT(AL$18:AL20)+1)</f>
        <v>4</v>
      </c>
      <c r="AM21" s="165" t="str">
        <f ca="1">IF(Prioritering!K17&gt;=Forside!H$7,Prioritering!E17,"")</f>
        <v>Skalhøjvej</v>
      </c>
      <c r="AN21" s="165">
        <f ca="1">IF(AM21="","",Prioritering!G17)</f>
        <v>13.518750000000001</v>
      </c>
      <c r="AO21" s="159" t="str">
        <f ca="1">IF(AP21="","",COUNT(AO$18:AO20)+1)</f>
        <v/>
      </c>
      <c r="AP21" s="172" t="str">
        <f ca="1">IF(Prioritering!K17&gt;=Forside!H$8,IF(Prioritering!K17&lt;H$7,Prioritering!E17,""),"")</f>
        <v/>
      </c>
      <c r="AQ21" s="159" t="str">
        <f ca="1">IF(AP21="","",Prioritering!G17)</f>
        <v/>
      </c>
      <c r="AR21" s="174" t="str">
        <f ca="1">IF(AS21="","",COUNT(AR$18:AR20)+1)</f>
        <v/>
      </c>
      <c r="AS21" s="174" t="str">
        <f ca="1">IF(Prioritering!K17&gt;=Forside!H$9,IF(Prioritering!K17&lt;H$8,Prioritering!E17,""),"")</f>
        <v/>
      </c>
      <c r="AT21" s="174" t="str">
        <f ca="1">IF(AS21="","",Prioritering!G17)</f>
        <v/>
      </c>
      <c r="AU21" s="177" t="str">
        <f ca="1">IF(AV21="","",COUNT(AU$18:AU20)+1)</f>
        <v/>
      </c>
      <c r="AV21" s="177" t="str">
        <f ca="1">IF(Prioritering!K17&lt;Forside!H$9,Prioritering!E17,"")</f>
        <v/>
      </c>
      <c r="AW21" s="177" t="str">
        <f ca="1">IF(AV21="","",Prioritering!G17)</f>
        <v/>
      </c>
    </row>
    <row r="22" spans="1:49" ht="15" customHeight="1" x14ac:dyDescent="0.3">
      <c r="A22" s="17"/>
      <c r="B22" s="184" t="s">
        <v>42</v>
      </c>
      <c r="C22" s="190"/>
      <c r="D22" s="16"/>
      <c r="E22" s="16"/>
      <c r="F22" s="191" t="s">
        <v>43</v>
      </c>
      <c r="G22" s="192"/>
      <c r="H22" s="16"/>
      <c r="I22" s="16"/>
      <c r="J22" s="193" t="s">
        <v>45</v>
      </c>
      <c r="K22" s="194"/>
      <c r="L22" s="16"/>
      <c r="M22" s="16"/>
      <c r="N22" s="195" t="s">
        <v>46</v>
      </c>
      <c r="O22" s="196"/>
      <c r="Q22" s="17"/>
      <c r="AL22" s="165">
        <f ca="1">IF(AM22="","",COUNT(AL$18:AL21)+1)</f>
        <v>5</v>
      </c>
      <c r="AM22" s="165" t="str">
        <f ca="1">IF(Prioritering!K18&gt;=Forside!H$7,Prioritering!E18,"")</f>
        <v>Stranvejen</v>
      </c>
      <c r="AN22" s="165">
        <f ca="1">IF(AM22="","",Prioritering!G18)</f>
        <v>8.8064999999999998</v>
      </c>
      <c r="AO22" s="159" t="str">
        <f ca="1">IF(AP22="","",COUNT(AO$18:AO21)+1)</f>
        <v/>
      </c>
      <c r="AP22" s="172" t="str">
        <f ca="1">IF(Prioritering!K18&gt;=Forside!H$8,IF(Prioritering!K18&lt;H$7,Prioritering!E18,""),"")</f>
        <v/>
      </c>
      <c r="AQ22" s="159" t="str">
        <f ca="1">IF(AP22="","",Prioritering!G18)</f>
        <v/>
      </c>
      <c r="AR22" s="174" t="str">
        <f ca="1">IF(AS22="","",COUNT(AR$18:AR21)+1)</f>
        <v/>
      </c>
      <c r="AS22" s="174" t="str">
        <f ca="1">IF(Prioritering!K18&gt;=Forside!H$9,IF(Prioritering!K18&lt;H$8,Prioritering!E18,""),"")</f>
        <v/>
      </c>
      <c r="AT22" s="174" t="str">
        <f ca="1">IF(AS22="","",Prioritering!G18)</f>
        <v/>
      </c>
      <c r="AU22" s="177" t="str">
        <f ca="1">IF(AV22="","",COUNT(AU$18:AU21)+1)</f>
        <v/>
      </c>
      <c r="AV22" s="177" t="str">
        <f ca="1">IF(Prioritering!K18&lt;Forside!H$9,Prioritering!E18,"")</f>
        <v/>
      </c>
      <c r="AW22" s="177" t="str">
        <f ca="1">IF(AV22="","",Prioritering!G18)</f>
        <v/>
      </c>
    </row>
    <row r="23" spans="1:49" ht="15" customHeight="1" x14ac:dyDescent="0.3">
      <c r="B23" s="197" t="s">
        <v>40</v>
      </c>
      <c r="C23" s="198" t="s">
        <v>41</v>
      </c>
      <c r="D23" s="16"/>
      <c r="E23" s="16"/>
      <c r="F23" s="199" t="s">
        <v>40</v>
      </c>
      <c r="G23" s="200" t="s">
        <v>41</v>
      </c>
      <c r="H23" s="16"/>
      <c r="I23" s="16"/>
      <c r="J23" s="201" t="s">
        <v>40</v>
      </c>
      <c r="K23" s="202" t="s">
        <v>41</v>
      </c>
      <c r="L23" s="16"/>
      <c r="M23" s="16"/>
      <c r="N23" s="203" t="s">
        <v>40</v>
      </c>
      <c r="O23" s="204" t="s">
        <v>41</v>
      </c>
      <c r="AL23" s="165">
        <f ca="1">IF(AM23="","",COUNT(AL$18:AL22)+1)</f>
        <v>6</v>
      </c>
      <c r="AM23" s="165" t="str">
        <f ca="1">IF(Prioritering!K19&gt;=Forside!H$7,Prioritering!E19,"")</f>
        <v>Rosenholmvej</v>
      </c>
      <c r="AN23" s="165">
        <f ca="1">IF(AM23="","",Prioritering!G19)</f>
        <v>18.024999999999999</v>
      </c>
      <c r="AO23" s="159" t="str">
        <f ca="1">IF(AP23="","",COUNT(AO$18:AO22)+1)</f>
        <v/>
      </c>
      <c r="AP23" s="172" t="str">
        <f ca="1">IF(Prioritering!K19&gt;=Forside!H$8,IF(Prioritering!K19&lt;H$7,Prioritering!E19,""),"")</f>
        <v/>
      </c>
      <c r="AQ23" s="159" t="str">
        <f ca="1">IF(AP23="","",Prioritering!G19)</f>
        <v/>
      </c>
      <c r="AR23" s="174" t="str">
        <f ca="1">IF(AS23="","",COUNT(AR$18:AR22)+1)</f>
        <v/>
      </c>
      <c r="AS23" s="174" t="str">
        <f ca="1">IF(Prioritering!K19&gt;=Forside!H$9,IF(Prioritering!K19&lt;H$8,Prioritering!E19,""),"")</f>
        <v/>
      </c>
      <c r="AT23" s="174" t="str">
        <f ca="1">IF(AS23="","",Prioritering!G19)</f>
        <v/>
      </c>
      <c r="AU23" s="177" t="str">
        <f ca="1">IF(AV23="","",COUNT(AU$18:AU22)+1)</f>
        <v/>
      </c>
      <c r="AV23" s="177" t="str">
        <f ca="1">IF(Prioritering!K19&lt;Forside!H$9,Prioritering!E19,"")</f>
        <v/>
      </c>
      <c r="AW23" s="177" t="str">
        <f ca="1">IF(AV23="","",Prioritering!G19)</f>
        <v/>
      </c>
    </row>
    <row r="24" spans="1:49" ht="15" customHeight="1" x14ac:dyDescent="0.25">
      <c r="B24" s="205" t="str">
        <f ca="1">IFERROR(VLOOKUP(1,AL:AN,2,FALSE),"")</f>
        <v>Thorsagervej ml byzonetavle og Vestergade</v>
      </c>
      <c r="C24" s="206">
        <f ca="1">IFERROR(VLOOKUP(1,AL:AN,3,FALSE),"")</f>
        <v>0</v>
      </c>
      <c r="F24" s="207" t="str">
        <f ca="1">IFERROR(VLOOKUP(1,AO:AQ,2,FALSE),"")</f>
        <v>Teglvangsvej</v>
      </c>
      <c r="G24" s="208">
        <f ca="1">IFERROR(VLOOKUP(1,AO:AQ,3,FALSE),"")</f>
        <v>12.74625</v>
      </c>
      <c r="J24" s="209" t="str">
        <f ca="1">IFERROR(VLOOKUP(1,AR:AT,2,FALSE),"")</f>
        <v>Ryomgård - nv for skolen</v>
      </c>
      <c r="K24" s="210">
        <f ca="1">IFERROR(VLOOKUP(1,AR:AT,3,FALSE),"")</f>
        <v>1.5449999999999999</v>
      </c>
      <c r="N24" s="211" t="str">
        <f ca="1">IFERROR(VLOOKUP(1,AU:AW,2,FALSE),"")</f>
        <v>Vestre Strandvej</v>
      </c>
      <c r="O24" s="212">
        <f ca="1">IFERROR(VLOOKUP(1,AU:AW,3,FALSE),"")</f>
        <v>6.9524999999999997</v>
      </c>
      <c r="AL24" s="165">
        <f ca="1">IF(AM24="","",COUNT(AL$18:AL23)+1)</f>
        <v>7</v>
      </c>
      <c r="AM24" s="165" t="str">
        <f ca="1">IF(Prioritering!K20&gt;=Forside!H$7,Prioritering!E20,"")</f>
        <v>Lunbakkevej</v>
      </c>
      <c r="AN24" s="165">
        <f ca="1">IF(AM24="","",Prioritering!G20)</f>
        <v>15.45</v>
      </c>
      <c r="AO24" s="159" t="str">
        <f ca="1">IF(AP24="","",COUNT(AO$18:AO23)+1)</f>
        <v/>
      </c>
      <c r="AP24" s="172" t="str">
        <f ca="1">IF(Prioritering!K20&gt;=Forside!H$8,IF(Prioritering!K20&lt;H$7,Prioritering!E20,""),"")</f>
        <v/>
      </c>
      <c r="AQ24" s="159" t="str">
        <f ca="1">IF(AP24="","",Prioritering!G20)</f>
        <v/>
      </c>
      <c r="AR24" s="174" t="str">
        <f ca="1">IF(AS24="","",COUNT(AR$18:AR23)+1)</f>
        <v/>
      </c>
      <c r="AS24" s="174" t="str">
        <f ca="1">IF(Prioritering!K20&gt;=Forside!H$9,IF(Prioritering!K20&lt;H$8,Prioritering!E20,""),"")</f>
        <v/>
      </c>
      <c r="AT24" s="174" t="str">
        <f ca="1">IF(AS24="","",Prioritering!G20)</f>
        <v/>
      </c>
      <c r="AU24" s="177" t="str">
        <f ca="1">IF(AV24="","",COUNT(AU$18:AU23)+1)</f>
        <v/>
      </c>
      <c r="AV24" s="177" t="str">
        <f ca="1">IF(Prioritering!K20&lt;Forside!H$9,Prioritering!E20,"")</f>
        <v/>
      </c>
      <c r="AW24" s="177" t="str">
        <f ca="1">IF(AV24="","",Prioritering!G20)</f>
        <v/>
      </c>
    </row>
    <row r="25" spans="1:49" ht="15" customHeight="1" x14ac:dyDescent="0.25">
      <c r="B25" s="205" t="str">
        <f ca="1">IFERROR(VLOOKUP(2,AL:AN,2,FALSE),"")</f>
        <v>Dråbyvej</v>
      </c>
      <c r="C25" s="206">
        <f ca="1">IFERROR(VLOOKUP(2,AL:AN,3,FALSE),"")</f>
        <v>10.557499999999999</v>
      </c>
      <c r="F25" s="213" t="str">
        <f ca="1">IFERROR(VLOOKUP(2,AO:AQ,2,FALSE),"")</f>
        <v>Mørkevej</v>
      </c>
      <c r="G25" s="214">
        <f ca="1">IFERROR(VLOOKUP(2,AO:AQ,3,FALSE),"")</f>
        <v>17.754625000000001</v>
      </c>
      <c r="J25" s="215" t="str">
        <f ca="1">IFERROR(VLOOKUP(2,AR:AT,2,FALSE),"")</f>
        <v>Søndervang-Østergade</v>
      </c>
      <c r="K25" s="216">
        <f ca="1">IFERROR(VLOOKUP(2,AR:AT,3,FALSE),"")</f>
        <v>1.969875</v>
      </c>
      <c r="N25" s="217" t="str">
        <f ca="1">IFERROR(VLOOKUP(2,AU:AW,2,FALSE),"")</f>
        <v/>
      </c>
      <c r="O25" s="218" t="str">
        <f ca="1">IFERROR(VLOOKUP(2,AU:AW,3,FALSE),"")</f>
        <v/>
      </c>
      <c r="AL25" s="165">
        <f ca="1">IF(AM25="","",COUNT(AL$18:AL24)+1)</f>
        <v>8</v>
      </c>
      <c r="AM25" s="165" t="str">
        <f ca="1">IF(Prioritering!K21&gt;=Forside!H$7,Prioritering!E21,"")</f>
        <v>Thorsagervej</v>
      </c>
      <c r="AN25" s="165">
        <f ca="1">IF(AM25="","",Prioritering!G21)</f>
        <v>16.982125</v>
      </c>
      <c r="AO25" s="159" t="str">
        <f ca="1">IF(AP25="","",COUNT(AO$18:AO24)+1)</f>
        <v/>
      </c>
      <c r="AP25" s="172" t="str">
        <f ca="1">IF(Prioritering!K21&gt;=Forside!H$8,IF(Prioritering!K21&lt;H$7,Prioritering!E21,""),"")</f>
        <v/>
      </c>
      <c r="AQ25" s="159" t="str">
        <f ca="1">IF(AP25="","",Prioritering!G21)</f>
        <v/>
      </c>
      <c r="AR25" s="174" t="str">
        <f ca="1">IF(AS25="","",COUNT(AR$18:AR24)+1)</f>
        <v/>
      </c>
      <c r="AS25" s="174" t="str">
        <f ca="1">IF(Prioritering!K21&gt;=Forside!H$9,IF(Prioritering!K21&lt;H$8,Prioritering!E21,""),"")</f>
        <v/>
      </c>
      <c r="AT25" s="174" t="str">
        <f ca="1">IF(AS25="","",Prioritering!G21)</f>
        <v/>
      </c>
      <c r="AU25" s="177" t="str">
        <f ca="1">IF(AV25="","",COUNT(AU$18:AU24)+1)</f>
        <v/>
      </c>
      <c r="AV25" s="177" t="str">
        <f ca="1">IF(Prioritering!K21&lt;Forside!H$9,Prioritering!E21,"")</f>
        <v/>
      </c>
      <c r="AW25" s="177" t="str">
        <f ca="1">IF(AV25="","",Prioritering!G21)</f>
        <v/>
      </c>
    </row>
    <row r="26" spans="1:49" ht="15" customHeight="1" x14ac:dyDescent="0.25">
      <c r="B26" s="205" t="str">
        <f ca="1">IFERROR(VLOOKUP(3,AL:AN,2,FALSE),"")</f>
        <v>Hornslet - sti langs banen</v>
      </c>
      <c r="C26" s="206">
        <f ca="1">IFERROR(VLOOKUP(3,AL:AN,3,FALSE),"")</f>
        <v>2.8968750000000001</v>
      </c>
      <c r="F26" s="213" t="str">
        <f ca="1">IFERROR(VLOOKUP(3,AO:AQ,2,FALSE),"")</f>
        <v>Borupvej</v>
      </c>
      <c r="G26" s="214">
        <f ca="1">IFERROR(VLOOKUP(3,AO:AQ,3,FALSE),"")</f>
        <v>21.861750000000001</v>
      </c>
      <c r="J26" s="215" t="str">
        <f ca="1">IFERROR(VLOOKUP(3,AR:AT,2,FALSE),"")</f>
        <v>Elsegårdevej</v>
      </c>
      <c r="K26" s="216">
        <f ca="1">IFERROR(VLOOKUP(3,AR:AT,3,FALSE),"")</f>
        <v>12.926500000000001</v>
      </c>
      <c r="N26" s="217" t="str">
        <f ca="1">IFERROR(VLOOKUP(3,AU:AW,2,FALSE),"")</f>
        <v/>
      </c>
      <c r="O26" s="218" t="str">
        <f ca="1">IFERROR(VLOOKUP(3,AU:AW,3,FALSE),"")</f>
        <v/>
      </c>
      <c r="AL26" s="165">
        <f ca="1">IF(AM26="","",COUNT(AL$18:AL25)+1)</f>
        <v>9</v>
      </c>
      <c r="AM26" s="165" t="str">
        <f ca="1">IF(Prioritering!K22&gt;=Forside!H$7,Prioritering!E22,"")</f>
        <v>Knebel-Vistoft</v>
      </c>
      <c r="AN26" s="165">
        <f ca="1">IF(AM26="","",Prioritering!G22)</f>
        <v>11.510249999999999</v>
      </c>
      <c r="AO26" s="159" t="str">
        <f ca="1">IF(AP26="","",COUNT(AO$18:AO25)+1)</f>
        <v/>
      </c>
      <c r="AP26" s="172" t="str">
        <f ca="1">IF(Prioritering!K22&gt;=Forside!H$8,IF(Prioritering!K22&lt;H$7,Prioritering!E22,""),"")</f>
        <v/>
      </c>
      <c r="AQ26" s="159" t="str">
        <f ca="1">IF(AP26="","",Prioritering!G22)</f>
        <v/>
      </c>
      <c r="AR26" s="174" t="str">
        <f ca="1">IF(AS26="","",COUNT(AR$18:AR25)+1)</f>
        <v/>
      </c>
      <c r="AS26" s="174" t="str">
        <f ca="1">IF(Prioritering!K22&gt;=Forside!H$9,IF(Prioritering!K22&lt;H$8,Prioritering!E22,""),"")</f>
        <v/>
      </c>
      <c r="AT26" s="174" t="str">
        <f ca="1">IF(AS26="","",Prioritering!G22)</f>
        <v/>
      </c>
      <c r="AU26" s="177" t="str">
        <f ca="1">IF(AV26="","",COUNT(AU$18:AU25)+1)</f>
        <v/>
      </c>
      <c r="AV26" s="177" t="str">
        <f ca="1">IF(Prioritering!K22&lt;Forside!H$9,Prioritering!E22,"")</f>
        <v/>
      </c>
      <c r="AW26" s="177" t="str">
        <f ca="1">IF(AV26="","",Prioritering!G22)</f>
        <v/>
      </c>
    </row>
    <row r="27" spans="1:49" ht="15" customHeight="1" x14ac:dyDescent="0.25">
      <c r="B27" s="205" t="str">
        <f ca="1">IFERROR(VLOOKUP(4,AL:AN,2,FALSE),"")</f>
        <v>Skalhøjvej</v>
      </c>
      <c r="C27" s="206">
        <f ca="1">IFERROR(VLOOKUP(4,AL:AN,3,FALSE),"")</f>
        <v>13.518750000000001</v>
      </c>
      <c r="F27" s="213" t="str">
        <f ca="1">IFERROR(VLOOKUP(4,AO:AQ,2,FALSE),"")</f>
        <v>Femmøller - Hovedgaden</v>
      </c>
      <c r="G27" s="214">
        <f ca="1">IFERROR(VLOOKUP(4,AO:AQ,3,FALSE),"")</f>
        <v>0.77249999999999996</v>
      </c>
      <c r="J27" s="215" t="str">
        <f ca="1">IFERROR(VLOOKUP(4,AR:AT,2,FALSE),"")</f>
        <v>Ryomvej</v>
      </c>
      <c r="K27" s="216">
        <f ca="1">IFERROR(VLOOKUP(4,AR:AT,3,FALSE),"")</f>
        <v>14.922124999999999</v>
      </c>
      <c r="N27" s="217" t="str">
        <f ca="1">IFERROR(VLOOKUP(4,AU:AW,2,FALSE),"")</f>
        <v/>
      </c>
      <c r="O27" s="218" t="str">
        <f ca="1">IFERROR(VLOOKUP(4,AU:AW,3,FALSE),"")</f>
        <v/>
      </c>
      <c r="AL27" s="165">
        <f ca="1">IF(AM27="","",COUNT(AL$18:AL26)+1)</f>
        <v>10</v>
      </c>
      <c r="AM27" s="165" t="str">
        <f ca="1">IF(Prioritering!K23&gt;=Forside!H$7,Prioritering!E23,"")</f>
        <v>Kirkebjergvej</v>
      </c>
      <c r="AN27" s="165">
        <f ca="1">IF(AM27="","",Prioritering!G23)</f>
        <v>6.18</v>
      </c>
      <c r="AO27" s="159" t="str">
        <f ca="1">IF(AP27="","",COUNT(AO$18:AO26)+1)</f>
        <v/>
      </c>
      <c r="AP27" s="172" t="str">
        <f ca="1">IF(Prioritering!K23&gt;=Forside!H$8,IF(Prioritering!K23&lt;H$7,Prioritering!E23,""),"")</f>
        <v/>
      </c>
      <c r="AQ27" s="159" t="str">
        <f ca="1">IF(AP27="","",Prioritering!G23)</f>
        <v/>
      </c>
      <c r="AR27" s="174" t="str">
        <f ca="1">IF(AS27="","",COUNT(AR$18:AR26)+1)</f>
        <v/>
      </c>
      <c r="AS27" s="174" t="str">
        <f ca="1">IF(Prioritering!K23&gt;=Forside!H$9,IF(Prioritering!K23&lt;H$8,Prioritering!E23,""),"")</f>
        <v/>
      </c>
      <c r="AT27" s="174" t="str">
        <f ca="1">IF(AS27="","",Prioritering!G23)</f>
        <v/>
      </c>
      <c r="AU27" s="177" t="str">
        <f ca="1">IF(AV27="","",COUNT(AU$18:AU26)+1)</f>
        <v/>
      </c>
      <c r="AV27" s="177" t="str">
        <f ca="1">IF(Prioritering!K23&lt;Forside!H$9,Prioritering!E23,"")</f>
        <v/>
      </c>
      <c r="AW27" s="177" t="str">
        <f ca="1">IF(AV27="","",Prioritering!G23)</f>
        <v/>
      </c>
    </row>
    <row r="28" spans="1:49" ht="15" customHeight="1" x14ac:dyDescent="0.25">
      <c r="B28" s="205" t="str">
        <f ca="1">IFERROR(VLOOKUP(5,AL:AN,2,FALSE),"")</f>
        <v>Stranvejen</v>
      </c>
      <c r="C28" s="206">
        <f ca="1">IFERROR(VLOOKUP(5,AL:AN,3,FALSE),"")</f>
        <v>8.8064999999999998</v>
      </c>
      <c r="F28" s="213" t="str">
        <f ca="1">IFERROR(VLOOKUP(5,AO:AQ,2,FALSE),"")</f>
        <v>Søndre Molsvej</v>
      </c>
      <c r="G28" s="214">
        <f ca="1">IFERROR(VLOOKUP(5,AO:AQ,3,FALSE),"")</f>
        <v>17.767499999999998</v>
      </c>
      <c r="J28" s="215" t="str">
        <f ca="1">IFERROR(VLOOKUP(5,AR:AT,2,FALSE),"")</f>
        <v>Hornslet - Tingvej</v>
      </c>
      <c r="K28" s="216">
        <f ca="1">IFERROR(VLOOKUP(5,AR:AT,3,FALSE),"")</f>
        <v>0.53</v>
      </c>
      <c r="N28" s="217" t="str">
        <f ca="1">IFERROR(VLOOKUP(5,AU:AW,2,FALSE),"")</f>
        <v/>
      </c>
      <c r="O28" s="218" t="str">
        <f ca="1">IFERROR(VLOOKUP(5,AU:AW,3,FALSE),"")</f>
        <v/>
      </c>
      <c r="AL28" s="165">
        <f ca="1">IF(AM28="","",COUNT(AL$18:AL27)+1)</f>
        <v>11</v>
      </c>
      <c r="AM28" s="165" t="str">
        <f ca="1">IF(Prioritering!K24&gt;=Forside!H$7,Prioritering!E24,"")</f>
        <v>Frellingvej (Flintebakken)</v>
      </c>
      <c r="AN28" s="165">
        <f ca="1">IF(AM28="","",Prioritering!G24)</f>
        <v>20.393999999999998</v>
      </c>
      <c r="AO28" s="159" t="str">
        <f ca="1">IF(AP28="","",COUNT(AO$18:AO27)+1)</f>
        <v/>
      </c>
      <c r="AP28" s="172" t="str">
        <f ca="1">IF(Prioritering!K24&gt;=Forside!H$8,IF(Prioritering!K24&lt;H$7,Prioritering!E24,""),"")</f>
        <v/>
      </c>
      <c r="AQ28" s="159" t="str">
        <f ca="1">IF(AP28="","",Prioritering!G24)</f>
        <v/>
      </c>
      <c r="AR28" s="174" t="str">
        <f ca="1">IF(AS28="","",COUNT(AR$18:AR27)+1)</f>
        <v/>
      </c>
      <c r="AS28" s="174" t="str">
        <f ca="1">IF(Prioritering!K24&gt;=Forside!H$9,IF(Prioritering!K24&lt;H$8,Prioritering!E24,""),"")</f>
        <v/>
      </c>
      <c r="AT28" s="174" t="str">
        <f ca="1">IF(AS28="","",Prioritering!G24)</f>
        <v/>
      </c>
      <c r="AU28" s="177" t="str">
        <f ca="1">IF(AV28="","",COUNT(AU$18:AU27)+1)</f>
        <v/>
      </c>
      <c r="AV28" s="177" t="str">
        <f ca="1">IF(Prioritering!K24&lt;Forside!H$9,Prioritering!E24,"")</f>
        <v/>
      </c>
      <c r="AW28" s="177" t="str">
        <f ca="1">IF(AV28="","",Prioritering!G24)</f>
        <v/>
      </c>
    </row>
    <row r="29" spans="1:49" ht="15" customHeight="1" x14ac:dyDescent="0.25">
      <c r="B29" s="205" t="str">
        <f ca="1">IFERROR(VLOOKUP(6,AL:AN,2,FALSE),"")</f>
        <v>Rosenholmvej</v>
      </c>
      <c r="C29" s="206">
        <f ca="1">IFERROR(VLOOKUP(6,AL:AN,3,FALSE),"")</f>
        <v>18.024999999999999</v>
      </c>
      <c r="F29" s="213" t="str">
        <f ca="1">IFERROR(VLOOKUP(6,AO:AQ,2,FALSE),"")</f>
        <v>Rønde - Smouenvej - nord for slotsparken-Hovedgaden</v>
      </c>
      <c r="G29" s="214">
        <f ca="1">IFERROR(VLOOKUP(6,AO:AQ,3,FALSE),"")</f>
        <v>2.8325</v>
      </c>
      <c r="J29" s="215" t="str">
        <f ca="1">IFERROR(VLOOKUP(6,AR:AT,2,FALSE),"")</f>
        <v>Asgilhøjevej</v>
      </c>
      <c r="K29" s="216">
        <f ca="1">IFERROR(VLOOKUP(6,AR:AT,3,FALSE),"")</f>
        <v>10.171250000000001</v>
      </c>
      <c r="N29" s="217" t="str">
        <f ca="1">IFERROR(VLOOKUP(6,AU:AW,2,FALSE),"")</f>
        <v/>
      </c>
      <c r="O29" s="218" t="str">
        <f ca="1">IFERROR(VLOOKUP(6,AU:AW,3,FALSE),"")</f>
        <v/>
      </c>
      <c r="AL29" s="165" t="str">
        <f ca="1">IF(AM29="","",COUNT(AL$18:AL28)+1)</f>
        <v/>
      </c>
      <c r="AM29" s="165" t="str">
        <f ca="1">IF(Prioritering!K25&gt;=Forside!H$7,Prioritering!E25,"")</f>
        <v/>
      </c>
      <c r="AN29" s="165" t="str">
        <f ca="1">IF(AM29="","",Prioritering!G25)</f>
        <v/>
      </c>
      <c r="AO29" s="159">
        <f ca="1">IF(AP29="","",COUNT(AO$18:AO28)+1)</f>
        <v>1</v>
      </c>
      <c r="AP29" s="172" t="str">
        <f ca="1">IF(Prioritering!K25&gt;=Forside!H$8,IF(Prioritering!K25&lt;H$7,Prioritering!E25,""),"")</f>
        <v>Teglvangsvej</v>
      </c>
      <c r="AQ29" s="159">
        <f ca="1">IF(AP29="","",Prioritering!G25)</f>
        <v>12.74625</v>
      </c>
      <c r="AR29" s="174" t="str">
        <f ca="1">IF(AS29="","",COUNT(AR$18:AR28)+1)</f>
        <v/>
      </c>
      <c r="AS29" s="174" t="str">
        <f ca="1">IF(Prioritering!K25&gt;=Forside!H$9,IF(Prioritering!K25&lt;H$8,Prioritering!E25,""),"")</f>
        <v/>
      </c>
      <c r="AT29" s="174" t="str">
        <f ca="1">IF(AS29="","",Prioritering!G25)</f>
        <v/>
      </c>
      <c r="AU29" s="177" t="str">
        <f ca="1">IF(AV29="","",COUNT(AU$18:AU28)+1)</f>
        <v/>
      </c>
      <c r="AV29" s="177" t="str">
        <f ca="1">IF(Prioritering!K25&lt;Forside!H$9,Prioritering!E25,"")</f>
        <v/>
      </c>
      <c r="AW29" s="177" t="str">
        <f ca="1">IF(AV29="","",Prioritering!G25)</f>
        <v/>
      </c>
    </row>
    <row r="30" spans="1:49" ht="15" customHeight="1" x14ac:dyDescent="0.25">
      <c r="B30" s="205" t="str">
        <f ca="1">IFERROR(VLOOKUP(7,AL:AN,2,FALSE),"")</f>
        <v>Lunbakkevej</v>
      </c>
      <c r="C30" s="206">
        <f ca="1">IFERROR(VLOOKUP(7,AL:AN,3,FALSE),"")</f>
        <v>15.45</v>
      </c>
      <c r="F30" s="213" t="str">
        <f ca="1">IFERROR(VLOOKUP(7,AO:AQ,2,FALSE),"")</f>
        <v>Nødagervej</v>
      </c>
      <c r="G30" s="214">
        <f ca="1">IFERROR(VLOOKUP(7,AO:AQ,3,FALSE),"")</f>
        <v>19.029250000000001</v>
      </c>
      <c r="J30" s="215" t="str">
        <f ca="1">IFERROR(VLOOKUP(7,AR:AT,2,FALSE),"")</f>
        <v>Skørhus Skovvej-øksenmølle</v>
      </c>
      <c r="K30" s="216">
        <f ca="1">IFERROR(VLOOKUP(7,AR:AT,3,FALSE),"")</f>
        <v>12.334250000000001</v>
      </c>
      <c r="N30" s="217" t="str">
        <f ca="1">IFERROR(VLOOKUP(7,AU:AW,2,FALSE),"")</f>
        <v/>
      </c>
      <c r="O30" s="218" t="str">
        <f ca="1">IFERROR(VLOOKUP(7,AU:AW,3,FALSE),"")</f>
        <v/>
      </c>
      <c r="AL30" s="165" t="str">
        <f ca="1">IF(AM30="","",COUNT(AL$18:AL29)+1)</f>
        <v/>
      </c>
      <c r="AM30" s="165" t="str">
        <f ca="1">IF(Prioritering!K26&gt;=Forside!H$7,Prioritering!E26,"")</f>
        <v/>
      </c>
      <c r="AN30" s="165" t="str">
        <f ca="1">IF(AM30="","",Prioritering!G26)</f>
        <v/>
      </c>
      <c r="AO30" s="159">
        <f ca="1">IF(AP30="","",COUNT(AO$18:AO29)+1)</f>
        <v>2</v>
      </c>
      <c r="AP30" s="172" t="str">
        <f ca="1">IF(Prioritering!K26&gt;=Forside!H$8,IF(Prioritering!K26&lt;H$7,Prioritering!E26,""),"")</f>
        <v>Mørkevej</v>
      </c>
      <c r="AQ30" s="159">
        <f ca="1">IF(AP30="","",Prioritering!G26)</f>
        <v>17.754625000000001</v>
      </c>
      <c r="AR30" s="174" t="str">
        <f ca="1">IF(AS30="","",COUNT(AR$18:AR29)+1)</f>
        <v/>
      </c>
      <c r="AS30" s="174" t="str">
        <f ca="1">IF(Prioritering!K26&gt;=Forside!H$9,IF(Prioritering!K26&lt;H$8,Prioritering!E26,""),"")</f>
        <v/>
      </c>
      <c r="AT30" s="174" t="str">
        <f ca="1">IF(AS30="","",Prioritering!G26)</f>
        <v/>
      </c>
      <c r="AU30" s="177" t="str">
        <f ca="1">IF(AV30="","",COUNT(AU$18:AU29)+1)</f>
        <v/>
      </c>
      <c r="AV30" s="177" t="str">
        <f ca="1">IF(Prioritering!K26&lt;Forside!H$9,Prioritering!E26,"")</f>
        <v/>
      </c>
      <c r="AW30" s="177" t="str">
        <f ca="1">IF(AV30="","",Prioritering!G26)</f>
        <v/>
      </c>
    </row>
    <row r="31" spans="1:49" ht="15" customHeight="1" x14ac:dyDescent="0.25">
      <c r="B31" s="205" t="str">
        <f ca="1">IFERROR(VLOOKUP(8,AL:AN,2,FALSE),"")</f>
        <v>Thorsagervej</v>
      </c>
      <c r="C31" s="206">
        <f ca="1">IFERROR(VLOOKUP(8,AL:AN,3,FALSE),"")</f>
        <v>16.982125</v>
      </c>
      <c r="F31" s="213" t="str">
        <f ca="1">IFERROR(VLOOKUP(8,AO:AQ,2,FALSE),"")</f>
        <v>Frederikslundvej</v>
      </c>
      <c r="G31" s="214">
        <f ca="1">IFERROR(VLOOKUP(8,AO:AQ,3,FALSE),"")</f>
        <v>4.6349999999999998</v>
      </c>
      <c r="J31" s="215" t="str">
        <f ca="1">IFERROR(VLOOKUP(8,AR:AT,2,FALSE),"")</f>
        <v>Stubbesøvej</v>
      </c>
      <c r="K31" s="216">
        <f ca="1">IFERROR(VLOOKUP(8,AR:AT,3,FALSE),"")</f>
        <v>8.6262500000000006</v>
      </c>
      <c r="N31" s="217" t="str">
        <f ca="1">IFERROR(VLOOKUP(8,AU:AW,2,FALSE),"")</f>
        <v/>
      </c>
      <c r="O31" s="218" t="str">
        <f ca="1">IFERROR(VLOOKUP(8,AU:AW,3,FALSE),"")</f>
        <v/>
      </c>
      <c r="AL31" s="165" t="str">
        <f ca="1">IF(AM31="","",COUNT(AL$18:AL30)+1)</f>
        <v/>
      </c>
      <c r="AM31" s="165" t="str">
        <f ca="1">IF(Prioritering!K27&gt;=Forside!H$7,Prioritering!E27,"")</f>
        <v/>
      </c>
      <c r="AN31" s="165" t="str">
        <f ca="1">IF(AM31="","",Prioritering!G27)</f>
        <v/>
      </c>
      <c r="AO31" s="159">
        <f ca="1">IF(AP31="","",COUNT(AO$18:AO30)+1)</f>
        <v>3</v>
      </c>
      <c r="AP31" s="172" t="str">
        <f ca="1">IF(Prioritering!K27&gt;=Forside!H$8,IF(Prioritering!K27&lt;H$7,Prioritering!E27,""),"")</f>
        <v>Borupvej</v>
      </c>
      <c r="AQ31" s="159">
        <f ca="1">IF(AP31="","",Prioritering!G27)</f>
        <v>21.861750000000001</v>
      </c>
      <c r="AR31" s="174" t="str">
        <f ca="1">IF(AS31="","",COUNT(AR$18:AR30)+1)</f>
        <v/>
      </c>
      <c r="AS31" s="174" t="str">
        <f ca="1">IF(Prioritering!K27&gt;=Forside!H$9,IF(Prioritering!K27&lt;H$8,Prioritering!E27,""),"")</f>
        <v/>
      </c>
      <c r="AT31" s="174" t="str">
        <f ca="1">IF(AS31="","",Prioritering!G27)</f>
        <v/>
      </c>
      <c r="AU31" s="177" t="str">
        <f ca="1">IF(AV31="","",COUNT(AU$18:AU30)+1)</f>
        <v/>
      </c>
      <c r="AV31" s="177" t="str">
        <f ca="1">IF(Prioritering!K27&lt;Forside!H$9,Prioritering!E27,"")</f>
        <v/>
      </c>
      <c r="AW31" s="177" t="str">
        <f ca="1">IF(AV31="","",Prioritering!G27)</f>
        <v/>
      </c>
    </row>
    <row r="32" spans="1:49" ht="15" customHeight="1" x14ac:dyDescent="0.25">
      <c r="B32" s="219" t="str">
        <f ca="1">IFERROR(VLOOKUP(9,AL:AN,2,FALSE),"")</f>
        <v>Knebel-Vistoft</v>
      </c>
      <c r="C32" s="220">
        <f ca="1">IFERROR(VLOOKUP(9,AL:AN,3,FALSE),"")</f>
        <v>11.510249999999999</v>
      </c>
      <c r="D32" s="17"/>
      <c r="E32" s="17"/>
      <c r="F32" s="221" t="str">
        <f ca="1">IFERROR(VLOOKUP(9,AO:AQ,2,FALSE),"")</f>
        <v>Øerkrogvejen</v>
      </c>
      <c r="G32" s="222">
        <f ca="1">IFERROR(VLOOKUP(9,AO:AQ,3,FALSE),"")</f>
        <v>3.8624999999999998</v>
      </c>
      <c r="H32" s="17"/>
      <c r="I32" s="17"/>
      <c r="J32" s="223" t="str">
        <f ca="1">IFERROR(VLOOKUP(9,AR:AT,2,FALSE),"")</f>
        <v>Kirkebjergvej</v>
      </c>
      <c r="K32" s="224">
        <f ca="1">IFERROR(VLOOKUP(9,AR:AT,3,FALSE),"")</f>
        <v>6.6692499999999999</v>
      </c>
      <c r="L32" s="17"/>
      <c r="M32" s="17"/>
      <c r="N32" s="225" t="str">
        <f ca="1">IFERROR(VLOOKUP(9,AU:AW,2,FALSE),"")</f>
        <v/>
      </c>
      <c r="O32" s="226" t="str">
        <f ca="1">IFERROR(VLOOKUP(9,AU:AW,3,FALSE),"")</f>
        <v/>
      </c>
      <c r="AL32" s="165" t="str">
        <f ca="1">IF(AM32="","",COUNT(AL$18:AL31)+1)</f>
        <v/>
      </c>
      <c r="AM32" s="165" t="str">
        <f ca="1">IF(Prioritering!K28&gt;=Forside!H$7,Prioritering!E28,"")</f>
        <v/>
      </c>
      <c r="AN32" s="165" t="str">
        <f ca="1">IF(AM32="","",Prioritering!G28)</f>
        <v/>
      </c>
      <c r="AO32" s="159">
        <f ca="1">IF(AP32="","",COUNT(AO$18:AO31)+1)</f>
        <v>4</v>
      </c>
      <c r="AP32" s="172" t="str">
        <f ca="1">IF(Prioritering!K28&gt;=Forside!H$8,IF(Prioritering!K28&lt;H$7,Prioritering!E28,""),"")</f>
        <v>Femmøller - Hovedgaden</v>
      </c>
      <c r="AQ32" s="159">
        <f ca="1">IF(AP32="","",Prioritering!G28)</f>
        <v>0.77249999999999996</v>
      </c>
      <c r="AR32" s="174" t="str">
        <f ca="1">IF(AS32="","",COUNT(AR$18:AR31)+1)</f>
        <v/>
      </c>
      <c r="AS32" s="174" t="str">
        <f ca="1">IF(Prioritering!K28&gt;=Forside!H$9,IF(Prioritering!K28&lt;H$8,Prioritering!E28,""),"")</f>
        <v/>
      </c>
      <c r="AT32" s="174" t="str">
        <f ca="1">IF(AS32="","",Prioritering!G28)</f>
        <v/>
      </c>
      <c r="AU32" s="177" t="str">
        <f ca="1">IF(AV32="","",COUNT(AU$18:AU31)+1)</f>
        <v/>
      </c>
      <c r="AV32" s="177" t="str">
        <f ca="1">IF(Prioritering!K28&lt;Forside!H$9,Prioritering!E28,"")</f>
        <v/>
      </c>
      <c r="AW32" s="177" t="str">
        <f ca="1">IF(AV32="","",Prioritering!G28)</f>
        <v/>
      </c>
    </row>
    <row r="33" spans="2:49" ht="15" customHeight="1" x14ac:dyDescent="0.25">
      <c r="B33" s="205" t="str">
        <f ca="1">IFERROR(VLOOKUP(10,AL:AN,2,FALSE),"")</f>
        <v>Kirkebjergvej</v>
      </c>
      <c r="C33" s="206">
        <f ca="1">IFERROR(VLOOKUP(10,AL:AN,3,FALSE),"")</f>
        <v>6.18</v>
      </c>
      <c r="F33" s="213" t="str">
        <f ca="1">IFERROR(VLOOKUP(10,AO:AQ,2,FALSE),"")</f>
        <v>Bispemosevej</v>
      </c>
      <c r="G33" s="214">
        <f ca="1">IFERROR(VLOOKUP(10,AO:AQ,3,FALSE),"")</f>
        <v>6.5662500000000001</v>
      </c>
      <c r="J33" s="215" t="str">
        <f ca="1">IFERROR(VLOOKUP(10,AR:AT,2,FALSE),"")</f>
        <v>Thorsagervej ml. Skolevej og Ebeltoftvej</v>
      </c>
      <c r="K33" s="216">
        <f ca="1">IFERROR(VLOOKUP(10,AR:AT,3,FALSE),"")</f>
        <v>1.8540000000000001</v>
      </c>
      <c r="N33" s="217" t="str">
        <f ca="1">IFERROR(VLOOKUP(10,AU:AW,2,FALSE),"")</f>
        <v/>
      </c>
      <c r="O33" s="218" t="str">
        <f ca="1">IFERROR(VLOOKUP(10,AU:AW,3,FALSE),"")</f>
        <v/>
      </c>
      <c r="AL33" s="165" t="str">
        <f ca="1">IF(AM33="","",COUNT(AL$18:AL32)+1)</f>
        <v/>
      </c>
      <c r="AM33" s="165" t="str">
        <f ca="1">IF(Prioritering!K29&gt;=Forside!H$7,Prioritering!E29,"")</f>
        <v/>
      </c>
      <c r="AN33" s="165" t="str">
        <f ca="1">IF(AM33="","",Prioritering!G29)</f>
        <v/>
      </c>
      <c r="AO33" s="159">
        <f ca="1">IF(AP33="","",COUNT(AO$18:AO32)+1)</f>
        <v>5</v>
      </c>
      <c r="AP33" s="172" t="str">
        <f ca="1">IF(Prioritering!K29&gt;=Forside!H$8,IF(Prioritering!K29&lt;H$7,Prioritering!E29,""),"")</f>
        <v>Søndre Molsvej</v>
      </c>
      <c r="AQ33" s="159">
        <f ca="1">IF(AP33="","",Prioritering!G29)</f>
        <v>17.767499999999998</v>
      </c>
      <c r="AR33" s="174" t="str">
        <f ca="1">IF(AS33="","",COUNT(AR$18:AR32)+1)</f>
        <v/>
      </c>
      <c r="AS33" s="174" t="str">
        <f ca="1">IF(Prioritering!K29&gt;=Forside!H$9,IF(Prioritering!K29&lt;H$8,Prioritering!E29,""),"")</f>
        <v/>
      </c>
      <c r="AT33" s="174" t="str">
        <f ca="1">IF(AS33="","",Prioritering!G29)</f>
        <v/>
      </c>
      <c r="AU33" s="177" t="str">
        <f ca="1">IF(AV33="","",COUNT(AU$18:AU32)+1)</f>
        <v/>
      </c>
      <c r="AV33" s="177" t="str">
        <f ca="1">IF(Prioritering!K29&lt;Forside!H$9,Prioritering!E29,"")</f>
        <v/>
      </c>
      <c r="AW33" s="177" t="str">
        <f ca="1">IF(AV33="","",Prioritering!G29)</f>
        <v/>
      </c>
    </row>
    <row r="34" spans="2:49" ht="15" customHeight="1" x14ac:dyDescent="0.25">
      <c r="B34" s="219" t="str">
        <f ca="1">IFERROR(VLOOKUP(11,AL:AN,2,FALSE),"")</f>
        <v>Frellingvej (Flintebakken)</v>
      </c>
      <c r="C34" s="220">
        <f ca="1">IFERROR(VLOOKUP(11,AL:AN,3,FALSE),"")</f>
        <v>20.393999999999998</v>
      </c>
      <c r="D34" s="17"/>
      <c r="E34" s="17"/>
      <c r="F34" s="221" t="str">
        <f ca="1">IFERROR(VLOOKUP(11,AO:AQ,2,FALSE),"")</f>
        <v>Drasbeksgade (Kapelvej-Nødager)</v>
      </c>
      <c r="G34" s="222">
        <f ca="1">IFERROR(VLOOKUP(11,AO:AQ,3,FALSE),"")</f>
        <v>6.7593750000000004</v>
      </c>
      <c r="H34" s="17"/>
      <c r="I34" s="17"/>
      <c r="J34" s="223" t="str">
        <f ca="1">IFERROR(VLOOKUP(11,AR:AT,2,FALSE),"")</f>
        <v>Stenledvej</v>
      </c>
      <c r="K34" s="224">
        <f ca="1">IFERROR(VLOOKUP(11,AR:AT,3,FALSE),"")</f>
        <v>6.9524999999999997</v>
      </c>
      <c r="L34" s="17"/>
      <c r="M34" s="17"/>
      <c r="N34" s="225" t="str">
        <f ca="1">IFERROR(VLOOKUP(11,AU:AW,2,FALSE),"")</f>
        <v/>
      </c>
      <c r="O34" s="226" t="str">
        <f ca="1">IFERROR(VLOOKUP(11,AU:AW,3,FALSE),"")</f>
        <v/>
      </c>
      <c r="AL34" s="165" t="str">
        <f ca="1">IF(AM34="","",COUNT(AL$18:AL33)+1)</f>
        <v/>
      </c>
      <c r="AM34" s="165" t="str">
        <f ca="1">IF(Prioritering!K30&gt;=Forside!H$7,Prioritering!E30,"")</f>
        <v/>
      </c>
      <c r="AN34" s="165" t="str">
        <f ca="1">IF(AM34="","",Prioritering!G30)</f>
        <v/>
      </c>
      <c r="AO34" s="159">
        <f ca="1">IF(AP34="","",COUNT(AO$18:AO33)+1)</f>
        <v>6</v>
      </c>
      <c r="AP34" s="172" t="str">
        <f ca="1">IF(Prioritering!K30&gt;=Forside!H$8,IF(Prioritering!K30&lt;H$7,Prioritering!E30,""),"")</f>
        <v>Rønde - Smouenvej - nord for slotsparken-Hovedgaden</v>
      </c>
      <c r="AQ34" s="159">
        <f ca="1">IF(AP34="","",Prioritering!G30)</f>
        <v>2.8325</v>
      </c>
      <c r="AR34" s="174" t="str">
        <f ca="1">IF(AS34="","",COUNT(AR$18:AR33)+1)</f>
        <v/>
      </c>
      <c r="AS34" s="174" t="str">
        <f ca="1">IF(Prioritering!K30&gt;=Forside!H$9,IF(Prioritering!K30&lt;H$8,Prioritering!E30,""),"")</f>
        <v/>
      </c>
      <c r="AT34" s="174" t="str">
        <f ca="1">IF(AS34="","",Prioritering!G30)</f>
        <v/>
      </c>
      <c r="AU34" s="177" t="str">
        <f ca="1">IF(AV34="","",COUNT(AU$18:AU33)+1)</f>
        <v/>
      </c>
      <c r="AV34" s="177" t="str">
        <f ca="1">IF(Prioritering!K30&lt;Forside!H$9,Prioritering!E30,"")</f>
        <v/>
      </c>
      <c r="AW34" s="177" t="str">
        <f ca="1">IF(AV34="","",Prioritering!G30)</f>
        <v/>
      </c>
    </row>
    <row r="35" spans="2:49" ht="15" customHeight="1" x14ac:dyDescent="0.25">
      <c r="B35" s="205" t="str">
        <f ca="1">IFERROR(VLOOKUP(12,AL:AN,2,FALSE),"")</f>
        <v/>
      </c>
      <c r="C35" s="206" t="str">
        <f ca="1">IFERROR(VLOOKUP(12,AL:AN,3,FALSE),"")</f>
        <v/>
      </c>
      <c r="F35" s="213" t="str">
        <f ca="1">IFERROR(VLOOKUP(12,AO:AQ,2,FALSE),"")</f>
        <v/>
      </c>
      <c r="G35" s="214" t="str">
        <f ca="1">IFERROR(VLOOKUP(12,AO:AQ,3,FALSE),"")</f>
        <v/>
      </c>
      <c r="J35" s="215" t="str">
        <f ca="1">IFERROR(VLOOKUP(12,AR:AT,2,FALSE),"")</f>
        <v>Auningvej</v>
      </c>
      <c r="K35" s="216">
        <f ca="1">IFERROR(VLOOKUP(12,AR:AT,3,FALSE),"")</f>
        <v>21.063500000000001</v>
      </c>
      <c r="N35" s="217" t="str">
        <f ca="1">IFERROR(VLOOKUP(12,AU:AW,2,FALSE),"")</f>
        <v/>
      </c>
      <c r="O35" s="218" t="str">
        <f ca="1">IFERROR(VLOOKUP(12,AU:AW,3,FALSE),"")</f>
        <v/>
      </c>
      <c r="AL35" s="165" t="str">
        <f ca="1">IF(AM35="","",COUNT(AL$18:AL34)+1)</f>
        <v/>
      </c>
      <c r="AM35" s="165" t="str">
        <f ca="1">IF(Prioritering!K31&gt;=Forside!H$7,Prioritering!E31,"")</f>
        <v/>
      </c>
      <c r="AN35" s="165" t="str">
        <f ca="1">IF(AM35="","",Prioritering!G31)</f>
        <v/>
      </c>
      <c r="AO35" s="159">
        <f ca="1">IF(AP35="","",COUNT(AO$18:AO34)+1)</f>
        <v>7</v>
      </c>
      <c r="AP35" s="172" t="str">
        <f ca="1">IF(Prioritering!K31&gt;=Forside!H$8,IF(Prioritering!K31&lt;H$7,Prioritering!E31,""),"")</f>
        <v>Nødagervej</v>
      </c>
      <c r="AQ35" s="159">
        <f ca="1">IF(AP35="","",Prioritering!G31)</f>
        <v>19.029250000000001</v>
      </c>
      <c r="AR35" s="174" t="str">
        <f ca="1">IF(AS35="","",COUNT(AR$18:AR34)+1)</f>
        <v/>
      </c>
      <c r="AS35" s="174" t="str">
        <f ca="1">IF(Prioritering!K31&gt;=Forside!H$9,IF(Prioritering!K31&lt;H$8,Prioritering!E31,""),"")</f>
        <v/>
      </c>
      <c r="AT35" s="174" t="str">
        <f ca="1">IF(AS35="","",Prioritering!G31)</f>
        <v/>
      </c>
      <c r="AU35" s="177" t="str">
        <f ca="1">IF(AV35="","",COUNT(AU$18:AU34)+1)</f>
        <v/>
      </c>
      <c r="AV35" s="177" t="str">
        <f ca="1">IF(Prioritering!K31&lt;Forside!H$9,Prioritering!E31,"")</f>
        <v/>
      </c>
      <c r="AW35" s="177" t="str">
        <f ca="1">IF(AV35="","",Prioritering!G31)</f>
        <v/>
      </c>
    </row>
    <row r="36" spans="2:49" ht="15" customHeight="1" x14ac:dyDescent="0.25">
      <c r="B36" s="205" t="str">
        <f ca="1">IFERROR(VLOOKUP(13,AL:AN,2,FALSE),"")</f>
        <v/>
      </c>
      <c r="C36" s="206" t="str">
        <f ca="1">IFERROR(VLOOKUP(13,AL:AN,3,FALSE),"")</f>
        <v/>
      </c>
      <c r="F36" s="213" t="str">
        <f ca="1">IFERROR(VLOOKUP(13,AO:AQ,2,FALSE),"")</f>
        <v/>
      </c>
      <c r="G36" s="214" t="str">
        <f ca="1">IFERROR(VLOOKUP(13,AO:AQ,3,FALSE),"")</f>
        <v/>
      </c>
      <c r="J36" s="215" t="str">
        <f ca="1">IFERROR(VLOOKUP(13,AR:AT,2,FALSE),"")</f>
        <v>Søkjersvej</v>
      </c>
      <c r="K36" s="216">
        <f ca="1">IFERROR(VLOOKUP(13,AR:AT,3,FALSE),"")</f>
        <v>3.8624999999999998</v>
      </c>
      <c r="N36" s="217" t="str">
        <f ca="1">IFERROR(VLOOKUP(13,AU:AW,2,FALSE),"")</f>
        <v/>
      </c>
      <c r="O36" s="218" t="str">
        <f ca="1">IFERROR(VLOOKUP(13,AU:AW,3,FALSE),"")</f>
        <v/>
      </c>
      <c r="AL36" s="165" t="str">
        <f ca="1">IF(AM36="","",COUNT(AL$18:AL35)+1)</f>
        <v/>
      </c>
      <c r="AM36" s="165" t="str">
        <f ca="1">IF(Prioritering!K32&gt;=Forside!H$7,Prioritering!E32,"")</f>
        <v/>
      </c>
      <c r="AN36" s="165" t="str">
        <f ca="1">IF(AM36="","",Prioritering!G32)</f>
        <v/>
      </c>
      <c r="AO36" s="159">
        <f ca="1">IF(AP36="","",COUNT(AO$18:AO35)+1)</f>
        <v>8</v>
      </c>
      <c r="AP36" s="172" t="str">
        <f ca="1">IF(Prioritering!K32&gt;=Forside!H$8,IF(Prioritering!K32&lt;H$7,Prioritering!E32,""),"")</f>
        <v>Frederikslundvej</v>
      </c>
      <c r="AQ36" s="159">
        <f ca="1">IF(AP36="","",Prioritering!G32)</f>
        <v>4.6349999999999998</v>
      </c>
      <c r="AR36" s="174" t="str">
        <f ca="1">IF(AS36="","",COUNT(AR$18:AR35)+1)</f>
        <v/>
      </c>
      <c r="AS36" s="174" t="str">
        <f ca="1">IF(Prioritering!K32&gt;=Forside!H$9,IF(Prioritering!K32&lt;H$8,Prioritering!E32,""),"")</f>
        <v/>
      </c>
      <c r="AT36" s="174" t="str">
        <f ca="1">IF(AS36="","",Prioritering!G32)</f>
        <v/>
      </c>
      <c r="AU36" s="177" t="str">
        <f ca="1">IF(AV36="","",COUNT(AU$18:AU35)+1)</f>
        <v/>
      </c>
      <c r="AV36" s="177" t="str">
        <f ca="1">IF(Prioritering!K32&lt;Forside!H$9,Prioritering!E32,"")</f>
        <v/>
      </c>
      <c r="AW36" s="177" t="str">
        <f ca="1">IF(AV36="","",Prioritering!G32)</f>
        <v/>
      </c>
    </row>
    <row r="37" spans="2:49" ht="15" customHeight="1" x14ac:dyDescent="0.25">
      <c r="B37" s="205" t="str">
        <f ca="1">IFERROR(VLOOKUP(14,AL:AN,2,FALSE),"")</f>
        <v/>
      </c>
      <c r="C37" s="206" t="str">
        <f ca="1">IFERROR(VLOOKUP(14,AL:AN,3,FALSE),"")</f>
        <v/>
      </c>
      <c r="F37" s="213" t="str">
        <f ca="1">IFERROR(VLOOKUP(14,AO:AQ,2,FALSE),"")</f>
        <v/>
      </c>
      <c r="G37" s="214" t="str">
        <f ca="1">IFERROR(VLOOKUP(14,AO:AQ,3,FALSE),"")</f>
        <v/>
      </c>
      <c r="J37" s="215" t="str">
        <f ca="1">IFERROR(VLOOKUP(14,AR:AT,2,FALSE),"")</f>
        <v>Frederiks Allé</v>
      </c>
      <c r="K37" s="216">
        <f ca="1">IFERROR(VLOOKUP(14,AR:AT,3,FALSE),"")</f>
        <v>1.2617499999999999</v>
      </c>
      <c r="N37" s="217" t="str">
        <f ca="1">IFERROR(VLOOKUP(14,AU:AW,2,FALSE),"")</f>
        <v/>
      </c>
      <c r="O37" s="218" t="str">
        <f ca="1">IFERROR(VLOOKUP(14,AU:AW,3,FALSE),"")</f>
        <v/>
      </c>
      <c r="AL37" s="165" t="str">
        <f ca="1">IF(AM37="","",COUNT(AL$18:AL36)+1)</f>
        <v/>
      </c>
      <c r="AM37" s="165" t="str">
        <f ca="1">IF(Prioritering!K33&gt;=Forside!H$7,Prioritering!E33,"")</f>
        <v/>
      </c>
      <c r="AN37" s="165" t="str">
        <f ca="1">IF(AM37="","",Prioritering!G33)</f>
        <v/>
      </c>
      <c r="AO37" s="159">
        <f ca="1">IF(AP37="","",COUNT(AO$18:AO36)+1)</f>
        <v>9</v>
      </c>
      <c r="AP37" s="172" t="str">
        <f ca="1">IF(Prioritering!K33&gt;=Forside!H$8,IF(Prioritering!K33&lt;H$7,Prioritering!E33,""),"")</f>
        <v>Øerkrogvejen</v>
      </c>
      <c r="AQ37" s="159">
        <f ca="1">IF(AP37="","",Prioritering!G33)</f>
        <v>3.8624999999999998</v>
      </c>
      <c r="AR37" s="174" t="str">
        <f ca="1">IF(AS37="","",COUNT(AR$18:AR36)+1)</f>
        <v/>
      </c>
      <c r="AS37" s="174" t="str">
        <f ca="1">IF(Prioritering!K33&gt;=Forside!H$9,IF(Prioritering!K33&lt;H$8,Prioritering!E33,""),"")</f>
        <v/>
      </c>
      <c r="AT37" s="174" t="str">
        <f ca="1">IF(AS37="","",Prioritering!G33)</f>
        <v/>
      </c>
      <c r="AU37" s="177" t="str">
        <f ca="1">IF(AV37="","",COUNT(AU$18:AU36)+1)</f>
        <v/>
      </c>
      <c r="AV37" s="177" t="str">
        <f ca="1">IF(Prioritering!K33&lt;Forside!H$9,Prioritering!E33,"")</f>
        <v/>
      </c>
      <c r="AW37" s="177" t="str">
        <f ca="1">IF(AV37="","",Prioritering!G33)</f>
        <v/>
      </c>
    </row>
    <row r="38" spans="2:49" ht="15" customHeight="1" x14ac:dyDescent="0.25">
      <c r="B38" s="205" t="str">
        <f ca="1">IFERROR(VLOOKUP(15,AL:AN,2,FALSE),"")</f>
        <v/>
      </c>
      <c r="C38" s="206" t="str">
        <f ca="1">IFERROR(VLOOKUP(15,AL:AN,3,FALSE),"")</f>
        <v/>
      </c>
      <c r="F38" s="213" t="str">
        <f ca="1">IFERROR(VLOOKUP(15,AO:AQ,2,FALSE),"")</f>
        <v/>
      </c>
      <c r="G38" s="214" t="str">
        <f ca="1">IFERROR(VLOOKUP(15,AO:AQ,3,FALSE),"")</f>
        <v/>
      </c>
      <c r="J38" s="215" t="str">
        <f ca="1">IFERROR(VLOOKUP(15,AR:AT,2,FALSE),"")</f>
        <v>Møllebækvej</v>
      </c>
      <c r="K38" s="216">
        <f ca="1">IFERROR(VLOOKUP(15,AR:AT,3,FALSE),"")</f>
        <v>3.7981250000000002</v>
      </c>
      <c r="N38" s="217" t="str">
        <f ca="1">IFERROR(VLOOKUP(15,AU:AW,2,FALSE),"")</f>
        <v/>
      </c>
      <c r="O38" s="218" t="str">
        <f ca="1">IFERROR(VLOOKUP(15,AU:AW,3,FALSE),"")</f>
        <v/>
      </c>
      <c r="AL38" s="165" t="str">
        <f ca="1">IF(AM38="","",COUNT(AL$18:AL37)+1)</f>
        <v/>
      </c>
      <c r="AM38" s="165" t="str">
        <f ca="1">IF(Prioritering!K34&gt;=Forside!H$7,Prioritering!E34,"")</f>
        <v/>
      </c>
      <c r="AN38" s="165" t="str">
        <f ca="1">IF(AM38="","",Prioritering!G34)</f>
        <v/>
      </c>
      <c r="AO38" s="159">
        <f ca="1">IF(AP38="","",COUNT(AO$18:AO37)+1)</f>
        <v>10</v>
      </c>
      <c r="AP38" s="172" t="str">
        <f ca="1">IF(Prioritering!K34&gt;=Forside!H$8,IF(Prioritering!K34&lt;H$7,Prioritering!E34,""),"")</f>
        <v>Bispemosevej</v>
      </c>
      <c r="AQ38" s="159">
        <f ca="1">IF(AP38="","",Prioritering!G34)</f>
        <v>6.5662500000000001</v>
      </c>
      <c r="AR38" s="174" t="str">
        <f ca="1">IF(AS38="","",COUNT(AR$18:AR37)+1)</f>
        <v/>
      </c>
      <c r="AS38" s="174" t="str">
        <f ca="1">IF(Prioritering!K34&gt;=Forside!H$9,IF(Prioritering!K34&lt;H$8,Prioritering!E34,""),"")</f>
        <v/>
      </c>
      <c r="AT38" s="174" t="str">
        <f ca="1">IF(AS38="","",Prioritering!G34)</f>
        <v/>
      </c>
      <c r="AU38" s="177" t="str">
        <f ca="1">IF(AV38="","",COUNT(AU$18:AU37)+1)</f>
        <v/>
      </c>
      <c r="AV38" s="177" t="str">
        <f ca="1">IF(Prioritering!K34&lt;Forside!H$9,Prioritering!E34,"")</f>
        <v/>
      </c>
      <c r="AW38" s="177" t="str">
        <f ca="1">IF(AV38="","",Prioritering!G34)</f>
        <v/>
      </c>
    </row>
    <row r="39" spans="2:49" ht="15" customHeight="1" x14ac:dyDescent="0.25">
      <c r="B39" s="205" t="str">
        <f ca="1">IFERROR(VLOOKUP(16,AL:AN,2,FALSE),"")</f>
        <v/>
      </c>
      <c r="C39" s="206" t="str">
        <f ca="1">IFERROR(VLOOKUP(16,AL:AN,3,FALSE),"")</f>
        <v/>
      </c>
      <c r="F39" s="213" t="str">
        <f ca="1">IFERROR(VLOOKUP(16,AO:AQ,2,FALSE),"")</f>
        <v/>
      </c>
      <c r="G39" s="214" t="str">
        <f ca="1">IFERROR(VLOOKUP(16,AO:AQ,3,FALSE),"")</f>
        <v/>
      </c>
      <c r="J39" s="215" t="str">
        <f ca="1">IFERROR(VLOOKUP(16,AR:AT,2,FALSE),"")</f>
        <v>Hovdigevej</v>
      </c>
      <c r="K39" s="216">
        <f ca="1">IFERROR(VLOOKUP(16,AR:AT,3,FALSE),"")</f>
        <v>6.3087499999999999</v>
      </c>
      <c r="N39" s="217" t="str">
        <f ca="1">IFERROR(VLOOKUP(16,AU:AW,2,FALSE),"")</f>
        <v/>
      </c>
      <c r="O39" s="218" t="str">
        <f ca="1">IFERROR(VLOOKUP(166,AU:AW,3,FALSE),"")</f>
        <v/>
      </c>
      <c r="AL39" s="165" t="str">
        <f ca="1">IF(AM39="","",COUNT(AL$18:AL38)+1)</f>
        <v/>
      </c>
      <c r="AM39" s="165" t="str">
        <f ca="1">IF(Prioritering!K35&gt;=Forside!H$7,Prioritering!E35,"")</f>
        <v/>
      </c>
      <c r="AN39" s="165" t="str">
        <f ca="1">IF(AM39="","",Prioritering!G35)</f>
        <v/>
      </c>
      <c r="AO39" s="159">
        <f ca="1">IF(AP39="","",COUNT(AO$18:AO38)+1)</f>
        <v>11</v>
      </c>
      <c r="AP39" s="172" t="str">
        <f ca="1">IF(Prioritering!K35&gt;=Forside!H$8,IF(Prioritering!K35&lt;H$7,Prioritering!E35,""),"")</f>
        <v>Drasbeksgade (Kapelvej-Nødager)</v>
      </c>
      <c r="AQ39" s="159">
        <f ca="1">IF(AP39="","",Prioritering!G35)</f>
        <v>6.7593750000000004</v>
      </c>
      <c r="AR39" s="174" t="str">
        <f ca="1">IF(AS39="","",COUNT(AR$18:AR38)+1)</f>
        <v/>
      </c>
      <c r="AS39" s="174" t="str">
        <f ca="1">IF(Prioritering!K35&gt;=Forside!H$9,IF(Prioritering!K35&lt;H$8,Prioritering!E35,""),"")</f>
        <v/>
      </c>
      <c r="AT39" s="174" t="str">
        <f ca="1">IF(AS39="","",Prioritering!G35)</f>
        <v/>
      </c>
      <c r="AU39" s="177" t="str">
        <f ca="1">IF(AV39="","",COUNT(AU$18:AU38)+1)</f>
        <v/>
      </c>
      <c r="AV39" s="177" t="str">
        <f ca="1">IF(Prioritering!K35&lt;Forside!H$9,Prioritering!E35,"")</f>
        <v/>
      </c>
      <c r="AW39" s="177" t="str">
        <f ca="1">IF(AV39="","",Prioritering!G35)</f>
        <v/>
      </c>
    </row>
    <row r="40" spans="2:49" ht="15" customHeight="1" x14ac:dyDescent="0.25">
      <c r="B40" s="205" t="str">
        <f ca="1">IFERROR(VLOOKUP(17,AL:AN,2,FALSE),"")</f>
        <v/>
      </c>
      <c r="C40" s="206" t="str">
        <f ca="1">IFERROR(VLOOKUP(17,AL:AN,3,FALSE),"")</f>
        <v/>
      </c>
      <c r="F40" s="213" t="str">
        <f ca="1">IFERROR(VLOOKUP(17,AO:AQ,2,FALSE),"")</f>
        <v/>
      </c>
      <c r="G40" s="214" t="str">
        <f ca="1">IFERROR(VLOOKUP(17,AO:AQ,3,FALSE),"")</f>
        <v/>
      </c>
      <c r="J40" s="215" t="str">
        <f ca="1">IFERROR(VLOOKUP(17,AR:AT,2,FALSE),"")</f>
        <v>Stenledvej-Havmøllevej</v>
      </c>
      <c r="K40" s="216">
        <f ca="1">IFERROR(VLOOKUP(17,AR:AT,3,FALSE),"")</f>
        <v>11.20125</v>
      </c>
      <c r="N40" s="217" t="str">
        <f ca="1">IFERROR(VLOOKUP(17,AU:AW,2,FALSE),"")</f>
        <v/>
      </c>
      <c r="O40" s="218" t="str">
        <f ca="1">IFERROR(VLOOKUP(17,AU:AW,3,FALSE),"")</f>
        <v/>
      </c>
      <c r="AL40" s="165" t="str">
        <f ca="1">IF(AM40="","",COUNT(AL$18:AL39)+1)</f>
        <v/>
      </c>
      <c r="AM40" s="165" t="str">
        <f ca="1">IF(Prioritering!K36&gt;=Forside!H$7,Prioritering!E36,"")</f>
        <v/>
      </c>
      <c r="AN40" s="165" t="str">
        <f ca="1">IF(AM40="","",Prioritering!G36)</f>
        <v/>
      </c>
      <c r="AO40" s="159" t="str">
        <f ca="1">IF(AP40="","",COUNT(AO$18:AO39)+1)</f>
        <v/>
      </c>
      <c r="AP40" s="172" t="str">
        <f ca="1">IF(Prioritering!K36&gt;=Forside!H$8,IF(Prioritering!K36&lt;H$7,Prioritering!E36,""),"")</f>
        <v/>
      </c>
      <c r="AQ40" s="159" t="str">
        <f ca="1">IF(AP40="","",Prioritering!G36)</f>
        <v/>
      </c>
      <c r="AR40" s="174">
        <f ca="1">IF(AS40="","",COUNT(AR$18:AR39)+1)</f>
        <v>1</v>
      </c>
      <c r="AS40" s="174" t="str">
        <f ca="1">IF(Prioritering!K36&gt;=Forside!H$9,IF(Prioritering!K36&lt;H$8,Prioritering!E36,""),"")</f>
        <v>Ryomgård - nv for skolen</v>
      </c>
      <c r="AT40" s="174">
        <f ca="1">IF(AS40="","",Prioritering!G36)</f>
        <v>1.5449999999999999</v>
      </c>
      <c r="AU40" s="177" t="str">
        <f ca="1">IF(AV40="","",COUNT(AU$18:AU39)+1)</f>
        <v/>
      </c>
      <c r="AV40" s="177" t="str">
        <f ca="1">IF(Prioritering!K36&lt;Forside!H$9,Prioritering!E36,"")</f>
        <v/>
      </c>
      <c r="AW40" s="177" t="str">
        <f ca="1">IF(AV40="","",Prioritering!G36)</f>
        <v/>
      </c>
    </row>
    <row r="41" spans="2:49" ht="15" customHeight="1" x14ac:dyDescent="0.25">
      <c r="B41" s="205" t="str">
        <f ca="1">IFERROR(VLOOKUP(18,AL:AN,2,FALSE),"")</f>
        <v/>
      </c>
      <c r="C41" s="206" t="str">
        <f ca="1">IFERROR(VLOOKUP(18,AL:AN,3,FALSE),"")</f>
        <v/>
      </c>
      <c r="F41" s="213" t="str">
        <f ca="1">IFERROR(VLOOKUP(18,AO:AQ,2,FALSE),"")</f>
        <v/>
      </c>
      <c r="G41" s="214" t="str">
        <f ca="1">IFERROR(VLOOKUP(18,AO:AQ,3,FALSE),"")</f>
        <v/>
      </c>
      <c r="J41" s="215" t="str">
        <f ca="1">IFERROR(VLOOKUP(18,AR:AT,2,FALSE),"")</f>
        <v>Havmøllevej-Hovdigevej</v>
      </c>
      <c r="K41" s="216">
        <f ca="1">IFERROR(VLOOKUP(18,AR:AT,3,FALSE),"")</f>
        <v>17.381250000000001</v>
      </c>
      <c r="N41" s="217" t="str">
        <f ca="1">IFERROR(VLOOKUP(18,AU:AW,2,FALSE),"")</f>
        <v/>
      </c>
      <c r="O41" s="218" t="str">
        <f ca="1">IFERROR(VLOOKUP(18,AU:AW,3,FALSE),"")</f>
        <v/>
      </c>
      <c r="AL41" s="165" t="str">
        <f ca="1">IF(AM41="","",COUNT(AL$18:AL40)+1)</f>
        <v/>
      </c>
      <c r="AM41" s="165" t="str">
        <f ca="1">IF(Prioritering!K37&gt;=Forside!H$7,Prioritering!E37,"")</f>
        <v/>
      </c>
      <c r="AN41" s="165" t="str">
        <f ca="1">IF(AM41="","",Prioritering!G37)</f>
        <v/>
      </c>
      <c r="AO41" s="159" t="str">
        <f ca="1">IF(AP41="","",COUNT(AO$18:AO40)+1)</f>
        <v/>
      </c>
      <c r="AP41" s="172" t="str">
        <f ca="1">IF(Prioritering!K37&gt;=Forside!H$8,IF(Prioritering!K37&lt;H$7,Prioritering!E37,""),"")</f>
        <v/>
      </c>
      <c r="AQ41" s="159" t="str">
        <f ca="1">IF(AP41="","",Prioritering!G37)</f>
        <v/>
      </c>
      <c r="AR41" s="174">
        <f ca="1">IF(AS41="","",COUNT(AR$18:AR40)+1)</f>
        <v>2</v>
      </c>
      <c r="AS41" s="174" t="str">
        <f ca="1">IF(Prioritering!K37&gt;=Forside!H$9,IF(Prioritering!K37&lt;H$8,Prioritering!E37,""),"")</f>
        <v>Søndervang-Østergade</v>
      </c>
      <c r="AT41" s="174">
        <f ca="1">IF(AS41="","",Prioritering!G37)</f>
        <v>1.969875</v>
      </c>
      <c r="AU41" s="177" t="str">
        <f ca="1">IF(AV41="","",COUNT(AU$18:AU40)+1)</f>
        <v/>
      </c>
      <c r="AV41" s="177" t="str">
        <f ca="1">IF(Prioritering!K37&lt;Forside!H$9,Prioritering!E37,"")</f>
        <v/>
      </c>
      <c r="AW41" s="177" t="str">
        <f ca="1">IF(AV41="","",Prioritering!G37)</f>
        <v/>
      </c>
    </row>
    <row r="42" spans="2:49" ht="15" customHeight="1" x14ac:dyDescent="0.25">
      <c r="B42" s="205" t="str">
        <f ca="1">IFERROR(VLOOKUP(19,AL:AN,2,FALSE),"")</f>
        <v/>
      </c>
      <c r="C42" s="206" t="str">
        <f ca="1">IFERROR(VLOOKUP(19,AL:AN,3,FALSE),"")</f>
        <v/>
      </c>
      <c r="F42" s="213" t="str">
        <f ca="1">IFERROR(VLOOKUP(19,AO:AQ,2,FALSE),"")</f>
        <v/>
      </c>
      <c r="G42" s="214" t="str">
        <f ca="1">IFERROR(VLOOKUP(19,AO:AQ,3,FALSE),"")</f>
        <v/>
      </c>
      <c r="J42" s="215" t="str">
        <f ca="1">IFERROR(VLOOKUP(19,AR:AT,2,FALSE),"")</f>
        <v>Kaløvej - Rønde</v>
      </c>
      <c r="K42" s="216">
        <f ca="1">IFERROR(VLOOKUP(19,AR:AT,3,FALSE),"")</f>
        <v>1.7381249999999999</v>
      </c>
      <c r="N42" s="217" t="str">
        <f ca="1">IFERROR(VLOOKUP(19,AU:AW,2,FALSE),"")</f>
        <v/>
      </c>
      <c r="O42" s="218" t="str">
        <f ca="1">IFERROR(VLOOKUP(19,AU:AW,3,FALSE),"")</f>
        <v/>
      </c>
      <c r="AL42" s="165" t="str">
        <f ca="1">IF(AM42="","",COUNT(AL$18:AL41)+1)</f>
        <v/>
      </c>
      <c r="AM42" s="165" t="str">
        <f ca="1">IF(Prioritering!K38&gt;=Forside!H$7,Prioritering!E38,"")</f>
        <v/>
      </c>
      <c r="AN42" s="165" t="str">
        <f ca="1">IF(AM42="","",Prioritering!G38)</f>
        <v/>
      </c>
      <c r="AO42" s="159" t="str">
        <f ca="1">IF(AP42="","",COUNT(AO$18:AO41)+1)</f>
        <v/>
      </c>
      <c r="AP42" s="172" t="str">
        <f ca="1">IF(Prioritering!K38&gt;=Forside!H$8,IF(Prioritering!K38&lt;H$7,Prioritering!E38,""),"")</f>
        <v/>
      </c>
      <c r="AQ42" s="159" t="str">
        <f ca="1">IF(AP42="","",Prioritering!G38)</f>
        <v/>
      </c>
      <c r="AR42" s="174">
        <f ca="1">IF(AS42="","",COUNT(AR$18:AR41)+1)</f>
        <v>3</v>
      </c>
      <c r="AS42" s="174" t="str">
        <f ca="1">IF(Prioritering!K38&gt;=Forside!H$9,IF(Prioritering!K38&lt;H$8,Prioritering!E38,""),"")</f>
        <v>Elsegårdevej</v>
      </c>
      <c r="AT42" s="174">
        <f ca="1">IF(AS42="","",Prioritering!G38)</f>
        <v>12.926500000000001</v>
      </c>
      <c r="AU42" s="177" t="str">
        <f ca="1">IF(AV42="","",COUNT(AU$18:AU41)+1)</f>
        <v/>
      </c>
      <c r="AV42" s="177" t="str">
        <f ca="1">IF(Prioritering!K38&lt;Forside!H$9,Prioritering!E38,"")</f>
        <v/>
      </c>
      <c r="AW42" s="177" t="str">
        <f ca="1">IF(AV42="","",Prioritering!G38)</f>
        <v/>
      </c>
    </row>
    <row r="43" spans="2:49" ht="15" customHeight="1" x14ac:dyDescent="0.25">
      <c r="B43" s="205" t="str">
        <f ca="1">IFERROR(VLOOKUP(20,AL:AN,2,FALSE),"")</f>
        <v/>
      </c>
      <c r="C43" s="206" t="str">
        <f ca="1">IFERROR(VLOOKUP(20,AL:AN,3,FALSE),"")</f>
        <v/>
      </c>
      <c r="F43" s="213" t="str">
        <f ca="1">IFERROR(VLOOKUP(20,AO:AQ,2,FALSE),"")</f>
        <v/>
      </c>
      <c r="G43" s="214" t="str">
        <f ca="1">IFERROR(VLOOKUP(20,AO:AQ,3,FALSE),"")</f>
        <v/>
      </c>
      <c r="J43" s="215" t="str">
        <f ca="1">IFERROR(VLOOKUP(20,AR:AT,2,FALSE),"")</f>
        <v>Ønbjergvej</v>
      </c>
      <c r="K43" s="216">
        <f ca="1">IFERROR(VLOOKUP(20,AR:AT,3,FALSE),"")</f>
        <v>5.7937500000000002</v>
      </c>
      <c r="N43" s="217" t="str">
        <f ca="1">IFERROR(VLOOKUP(20,AU:AW,2,FALSE),"")</f>
        <v/>
      </c>
      <c r="O43" s="218" t="str">
        <f ca="1">IFERROR(VLOOKUP(20,AU:AW,3,FALSE),"")</f>
        <v/>
      </c>
      <c r="AL43" s="165" t="str">
        <f ca="1">IF(AM43="","",COUNT(AL$18:AL42)+1)</f>
        <v/>
      </c>
      <c r="AM43" s="165" t="str">
        <f ca="1">IF(Prioritering!K39&gt;=Forside!H$7,Prioritering!E39,"")</f>
        <v/>
      </c>
      <c r="AN43" s="165" t="str">
        <f ca="1">IF(AM43="","",Prioritering!G39)</f>
        <v/>
      </c>
      <c r="AO43" s="159" t="str">
        <f ca="1">IF(AP43="","",COUNT(AO$18:AO42)+1)</f>
        <v/>
      </c>
      <c r="AP43" s="172" t="str">
        <f ca="1">IF(Prioritering!K39&gt;=Forside!H$8,IF(Prioritering!K39&lt;H$7,Prioritering!E39,""),"")</f>
        <v/>
      </c>
      <c r="AQ43" s="159" t="str">
        <f ca="1">IF(AP43="","",Prioritering!G39)</f>
        <v/>
      </c>
      <c r="AR43" s="174">
        <f ca="1">IF(AS43="","",COUNT(AR$18:AR42)+1)</f>
        <v>4</v>
      </c>
      <c r="AS43" s="174" t="str">
        <f ca="1">IF(Prioritering!K39&gt;=Forside!H$9,IF(Prioritering!K39&lt;H$8,Prioritering!E39,""),"")</f>
        <v>Ryomvej</v>
      </c>
      <c r="AT43" s="174">
        <f ca="1">IF(AS43="","",Prioritering!G39)</f>
        <v>14.922124999999999</v>
      </c>
      <c r="AU43" s="177" t="str">
        <f ca="1">IF(AV43="","",COUNT(AU$18:AU42)+1)</f>
        <v/>
      </c>
      <c r="AV43" s="177" t="str">
        <f ca="1">IF(Prioritering!K39&lt;Forside!H$9,Prioritering!E39,"")</f>
        <v/>
      </c>
      <c r="AW43" s="177" t="str">
        <f ca="1">IF(AV43="","",Prioritering!G39)</f>
        <v/>
      </c>
    </row>
    <row r="44" spans="2:49" ht="15" customHeight="1" x14ac:dyDescent="0.25">
      <c r="B44" s="205" t="str">
        <f ca="1">IFERROR(VLOOKUP(21,AL:AN,2,FALSE),"")</f>
        <v/>
      </c>
      <c r="C44" s="206" t="str">
        <f ca="1">IFERROR(VLOOKUP(21,AL:AN,3,FALSE),"")</f>
        <v/>
      </c>
      <c r="F44" s="213" t="str">
        <f ca="1">IFERROR(VLOOKUP(21,AO:AQ,2,FALSE),"")</f>
        <v/>
      </c>
      <c r="G44" s="214" t="str">
        <f ca="1">IFERROR(VLOOKUP(21,AO:AQ,3,FALSE),"")</f>
        <v/>
      </c>
      <c r="J44" s="215" t="str">
        <f ca="1">IFERROR(VLOOKUP(21,AR:AT,2,FALSE),"")</f>
        <v>Demstrupvej (Hønebjergvej)</v>
      </c>
      <c r="K44" s="216">
        <f ca="1">IFERROR(VLOOKUP(21,AR:AT,3,FALSE),"")</f>
        <v>6.18</v>
      </c>
      <c r="N44" s="217" t="str">
        <f ca="1">IFERROR(VLOOKUP(21,AU:AW,2,FALSE),"")</f>
        <v/>
      </c>
      <c r="O44" s="218" t="str">
        <f ca="1">IFERROR(VLOOKUP(21,AU:AW,3,FALSE),"")</f>
        <v/>
      </c>
      <c r="AL44" s="165" t="str">
        <f ca="1">IF(AM44="","",COUNT(AL$18:AL43)+1)</f>
        <v/>
      </c>
      <c r="AM44" s="165" t="str">
        <f ca="1">IF(Prioritering!K40&gt;=Forside!H$7,Prioritering!E40,"")</f>
        <v/>
      </c>
      <c r="AN44" s="165" t="str">
        <f ca="1">IF(AM44="","",Prioritering!G40)</f>
        <v/>
      </c>
      <c r="AO44" s="159" t="str">
        <f ca="1">IF(AP44="","",COUNT(AO$18:AO43)+1)</f>
        <v/>
      </c>
      <c r="AP44" s="172" t="str">
        <f ca="1">IF(Prioritering!K40&gt;=Forside!H$8,IF(Prioritering!K40&lt;H$7,Prioritering!E40,""),"")</f>
        <v/>
      </c>
      <c r="AQ44" s="159" t="str">
        <f ca="1">IF(AP44="","",Prioritering!G40)</f>
        <v/>
      </c>
      <c r="AR44" s="174">
        <f ca="1">IF(AS44="","",COUNT(AR$18:AR43)+1)</f>
        <v>5</v>
      </c>
      <c r="AS44" s="174" t="str">
        <f ca="1">IF(Prioritering!K40&gt;=Forside!H$9,IF(Prioritering!K40&lt;H$8,Prioritering!E40,""),"")</f>
        <v>Hornslet - Tingvej</v>
      </c>
      <c r="AT44" s="174">
        <f ca="1">IF(AS44="","",Prioritering!G40)</f>
        <v>0.53</v>
      </c>
      <c r="AU44" s="177" t="str">
        <f ca="1">IF(AV44="","",COUNT(AU$18:AU43)+1)</f>
        <v/>
      </c>
      <c r="AV44" s="177" t="str">
        <f ca="1">IF(Prioritering!K40&lt;Forside!H$9,Prioritering!E40,"")</f>
        <v/>
      </c>
      <c r="AW44" s="177" t="str">
        <f ca="1">IF(AV44="","",Prioritering!G40)</f>
        <v/>
      </c>
    </row>
    <row r="45" spans="2:49" ht="15" customHeight="1" x14ac:dyDescent="0.25">
      <c r="B45" s="205" t="str">
        <f ca="1">IFERROR(VLOOKUP(22,AL:AN,2,FALSE),"")</f>
        <v/>
      </c>
      <c r="C45" s="206" t="str">
        <f ca="1">IFERROR(VLOOKUP(22,AL:AN,3,FALSE),"")</f>
        <v/>
      </c>
      <c r="F45" s="213" t="str">
        <f ca="1">IFERROR(VLOOKUP(22,AO:AQ,2,FALSE),"")</f>
        <v/>
      </c>
      <c r="G45" s="214" t="str">
        <f ca="1">IFERROR(VLOOKUP(22,AO:AQ,3,FALSE),"")</f>
        <v/>
      </c>
      <c r="J45" s="215" t="str">
        <f ca="1">IFERROR(VLOOKUP(22,AR:AT,2,FALSE),"")</f>
        <v>Grenåvej</v>
      </c>
      <c r="K45" s="216">
        <f ca="1">IFERROR(VLOOKUP(22,AR:AT,3,FALSE),"")</f>
        <v>7.0812499999999998</v>
      </c>
      <c r="N45" s="217" t="str">
        <f ca="1">IFERROR(VLOOKUP(22,AU:AW,2,FALSE),"")</f>
        <v/>
      </c>
      <c r="O45" s="218" t="str">
        <f ca="1">IFERROR(VLOOKUP(22,AU:AW,3,FALSE),"")</f>
        <v/>
      </c>
      <c r="AL45" s="165" t="str">
        <f ca="1">IF(AM45="","",COUNT(AL$18:AL44)+1)</f>
        <v/>
      </c>
      <c r="AM45" s="165" t="str">
        <f ca="1">IF(Prioritering!K41&gt;=Forside!H$7,Prioritering!E41,"")</f>
        <v/>
      </c>
      <c r="AN45" s="165" t="str">
        <f ca="1">IF(AM45="","",Prioritering!G41)</f>
        <v/>
      </c>
      <c r="AO45" s="159" t="str">
        <f ca="1">IF(AP45="","",COUNT(AO$18:AO44)+1)</f>
        <v/>
      </c>
      <c r="AP45" s="172" t="str">
        <f ca="1">IF(Prioritering!K41&gt;=Forside!H$8,IF(Prioritering!K41&lt;H$7,Prioritering!E41,""),"")</f>
        <v/>
      </c>
      <c r="AQ45" s="159" t="str">
        <f ca="1">IF(AP45="","",Prioritering!G41)</f>
        <v/>
      </c>
      <c r="AR45" s="174">
        <f ca="1">IF(AS45="","",COUNT(AR$18:AR44)+1)</f>
        <v>6</v>
      </c>
      <c r="AS45" s="174" t="str">
        <f ca="1">IF(Prioritering!K41&gt;=Forside!H$9,IF(Prioritering!K41&lt;H$8,Prioritering!E41,""),"")</f>
        <v>Asgilhøjevej</v>
      </c>
      <c r="AT45" s="174">
        <f ca="1">IF(AS45="","",Prioritering!G41)</f>
        <v>10.171250000000001</v>
      </c>
      <c r="AU45" s="177" t="str">
        <f ca="1">IF(AV45="","",COUNT(AU$18:AU44)+1)</f>
        <v/>
      </c>
      <c r="AV45" s="177" t="str">
        <f ca="1">IF(Prioritering!K41&lt;Forside!H$9,Prioritering!E41,"")</f>
        <v/>
      </c>
      <c r="AW45" s="177" t="str">
        <f ca="1">IF(AV45="","",Prioritering!G41)</f>
        <v/>
      </c>
    </row>
    <row r="46" spans="2:49" ht="15" customHeight="1" x14ac:dyDescent="0.25">
      <c r="B46" s="205" t="str">
        <f ca="1">IFERROR(VLOOKUP(23,AL:AN,2,FALSE),"")</f>
        <v/>
      </c>
      <c r="C46" s="206" t="str">
        <f ca="1">IFERROR(VLOOKUP(23,AL:AN,3,FALSE),"")</f>
        <v/>
      </c>
      <c r="F46" s="213" t="str">
        <f ca="1">IFERROR(VLOOKUP(23,AO:AQ,2,FALSE),"")</f>
        <v/>
      </c>
      <c r="G46" s="214" t="str">
        <f ca="1">IFERROR(VLOOKUP(23,AO:AQ,3,FALSE),"")</f>
        <v/>
      </c>
      <c r="J46" s="215" t="str">
        <f ca="1">IFERROR(VLOOKUP(23,AR:AT,2,FALSE),"")</f>
        <v>Ebeltoft - Egedalsvej</v>
      </c>
      <c r="K46" s="216">
        <f ca="1">IFERROR(VLOOKUP(23,AR:AT,3,FALSE),"")</f>
        <v>2.0085000000000002</v>
      </c>
      <c r="N46" s="217" t="str">
        <f ca="1">IFERROR(VLOOKUP(23,AU:AW,2,FALSE),"")</f>
        <v/>
      </c>
      <c r="O46" s="218" t="str">
        <f ca="1">IFERROR(VLOOKUP(23,AU:AW,3,FALSE),"")</f>
        <v/>
      </c>
      <c r="AL46" s="165" t="str">
        <f ca="1">IF(AM46="","",COUNT(AL$18:AL45)+1)</f>
        <v/>
      </c>
      <c r="AM46" s="165" t="str">
        <f ca="1">IF(Prioritering!K42&gt;=Forside!H$7,Prioritering!E42,"")</f>
        <v/>
      </c>
      <c r="AN46" s="165" t="str">
        <f ca="1">IF(AM46="","",Prioritering!G42)</f>
        <v/>
      </c>
      <c r="AO46" s="159" t="str">
        <f ca="1">IF(AP46="","",COUNT(AO$18:AO45)+1)</f>
        <v/>
      </c>
      <c r="AP46" s="172" t="str">
        <f ca="1">IF(Prioritering!K42&gt;=Forside!H$8,IF(Prioritering!K42&lt;H$7,Prioritering!E42,""),"")</f>
        <v/>
      </c>
      <c r="AQ46" s="159" t="str">
        <f ca="1">IF(AP46="","",Prioritering!G42)</f>
        <v/>
      </c>
      <c r="AR46" s="174">
        <f ca="1">IF(AS46="","",COUNT(AR$18:AR45)+1)</f>
        <v>7</v>
      </c>
      <c r="AS46" s="174" t="str">
        <f ca="1">IF(Prioritering!K42&gt;=Forside!H$9,IF(Prioritering!K42&lt;H$8,Prioritering!E42,""),"")</f>
        <v>Skørhus Skovvej-øksenmølle</v>
      </c>
      <c r="AT46" s="174">
        <f ca="1">IF(AS46="","",Prioritering!G42)</f>
        <v>12.334250000000001</v>
      </c>
      <c r="AU46" s="177" t="str">
        <f ca="1">IF(AV46="","",COUNT(AU$18:AU45)+1)</f>
        <v/>
      </c>
      <c r="AV46" s="177" t="str">
        <f ca="1">IF(Prioritering!K42&lt;Forside!H$9,Prioritering!E42,"")</f>
        <v/>
      </c>
      <c r="AW46" s="177" t="str">
        <f ca="1">IF(AV46="","",Prioritering!G42)</f>
        <v/>
      </c>
    </row>
    <row r="47" spans="2:49" ht="15" customHeight="1" x14ac:dyDescent="0.25">
      <c r="B47" s="205" t="str">
        <f ca="1">IFERROR(VLOOKUP(24,AL:AN,2,FALSE),"")</f>
        <v/>
      </c>
      <c r="C47" s="206" t="str">
        <f ca="1">IFERROR(VLOOKUP(24,AL:AN,3,FALSE),"")</f>
        <v/>
      </c>
      <c r="F47" s="213" t="str">
        <f ca="1">IFERROR(VLOOKUP(24,AO:AQ,2,FALSE),"")</f>
        <v/>
      </c>
      <c r="G47" s="214" t="str">
        <f ca="1">IFERROR(VLOOKUP(24,AO:AQ,3,FALSE),"")</f>
        <v/>
      </c>
      <c r="J47" s="215" t="str">
        <f ca="1">IFERROR(VLOOKUP(24,AR:AT,2,FALSE),"")</f>
        <v>Vestersøvej-Borupvej</v>
      </c>
      <c r="K47" s="216">
        <f ca="1">IFERROR(VLOOKUP(24,AR:AT,3,FALSE),"")</f>
        <v>1.6608750000000001</v>
      </c>
      <c r="N47" s="217" t="str">
        <f ca="1">IFERROR(VLOOKUP(24,AU:AW,2,FALSE),"")</f>
        <v/>
      </c>
      <c r="O47" s="218" t="str">
        <f ca="1">IFERROR(VLOOKUP(24,AU:AW,3,FALSE),"")</f>
        <v/>
      </c>
      <c r="AL47" s="165" t="str">
        <f ca="1">IF(AM47="","",COUNT(AL$18:AL46)+1)</f>
        <v/>
      </c>
      <c r="AM47" s="165" t="str">
        <f ca="1">IF(Prioritering!K43&gt;=Forside!H$7,Prioritering!E43,"")</f>
        <v/>
      </c>
      <c r="AN47" s="165" t="str">
        <f ca="1">IF(AM47="","",Prioritering!G43)</f>
        <v/>
      </c>
      <c r="AO47" s="159" t="str">
        <f ca="1">IF(AP47="","",COUNT(AO$18:AO46)+1)</f>
        <v/>
      </c>
      <c r="AP47" s="172" t="str">
        <f ca="1">IF(Prioritering!K43&gt;=Forside!H$8,IF(Prioritering!K43&lt;H$7,Prioritering!E43,""),"")</f>
        <v/>
      </c>
      <c r="AQ47" s="159" t="str">
        <f ca="1">IF(AP47="","",Prioritering!G43)</f>
        <v/>
      </c>
      <c r="AR47" s="174">
        <f ca="1">IF(AS47="","",COUNT(AR$18:AR46)+1)</f>
        <v>8</v>
      </c>
      <c r="AS47" s="174" t="str">
        <f ca="1">IF(Prioritering!K43&gt;=Forside!H$9,IF(Prioritering!K43&lt;H$8,Prioritering!E43,""),"")</f>
        <v>Stubbesøvej</v>
      </c>
      <c r="AT47" s="174">
        <f ca="1">IF(AS47="","",Prioritering!G43)</f>
        <v>8.6262500000000006</v>
      </c>
      <c r="AU47" s="177" t="str">
        <f ca="1">IF(AV47="","",COUNT(AU$18:AU46)+1)</f>
        <v/>
      </c>
      <c r="AV47" s="177" t="str">
        <f ca="1">IF(Prioritering!K43&lt;Forside!H$9,Prioritering!E43,"")</f>
        <v/>
      </c>
      <c r="AW47" s="177" t="str">
        <f ca="1">IF(AV47="","",Prioritering!G43)</f>
        <v/>
      </c>
    </row>
    <row r="48" spans="2:49" ht="15" customHeight="1" x14ac:dyDescent="0.25">
      <c r="B48" s="205" t="str">
        <f ca="1">IFERROR(VLOOKUP(25,AL:AN,2,FALSE),"")</f>
        <v/>
      </c>
      <c r="C48" s="206" t="str">
        <f ca="1">IFERROR(VLOOKUP(25,AL:AN,3,FALSE),"")</f>
        <v/>
      </c>
      <c r="F48" s="213" t="str">
        <f ca="1">IFERROR(VLOOKUP(25,AO:AQ,2,FALSE),"")</f>
        <v/>
      </c>
      <c r="G48" s="214" t="str">
        <f ca="1">IFERROR(VLOOKUP(25,AO:AQ,3,FALSE),"")</f>
        <v/>
      </c>
      <c r="J48" s="215" t="str">
        <f ca="1">IFERROR(VLOOKUP(25,AR:AT,2,FALSE),"")</f>
        <v>Øksenmøllevej-Bækkenvangen</v>
      </c>
      <c r="K48" s="216">
        <f ca="1">IFERROR(VLOOKUP(25,AR:AT,3,FALSE),"")</f>
        <v>10.428750000000001</v>
      </c>
      <c r="N48" s="217" t="str">
        <f ca="1">IFERROR(VLOOKUP(25,AU:AW,2,FALSE),"")</f>
        <v/>
      </c>
      <c r="O48" s="218" t="str">
        <f ca="1">IFERROR(VLOOKUP(25,AU:AW,3,FALSE),"")</f>
        <v/>
      </c>
      <c r="AL48" s="165" t="str">
        <f ca="1">IF(AM48="","",COUNT(AL$18:AL47)+1)</f>
        <v/>
      </c>
      <c r="AM48" s="165" t="str">
        <f ca="1">IF(Prioritering!K44&gt;=Forside!H$7,Prioritering!E44,"")</f>
        <v/>
      </c>
      <c r="AN48" s="165" t="str">
        <f ca="1">IF(AM48="","",Prioritering!G44)</f>
        <v/>
      </c>
      <c r="AO48" s="159" t="str">
        <f ca="1">IF(AP48="","",COUNT(AO$18:AO47)+1)</f>
        <v/>
      </c>
      <c r="AP48" s="172" t="str">
        <f ca="1">IF(Prioritering!K44&gt;=Forside!H$8,IF(Prioritering!K44&lt;H$7,Prioritering!E44,""),"")</f>
        <v/>
      </c>
      <c r="AQ48" s="159" t="str">
        <f ca="1">IF(AP48="","",Prioritering!G44)</f>
        <v/>
      </c>
      <c r="AR48" s="174">
        <f ca="1">IF(AS48="","",COUNT(AR$18:AR47)+1)</f>
        <v>9</v>
      </c>
      <c r="AS48" s="174" t="str">
        <f ca="1">IF(Prioritering!K44&gt;=Forside!H$9,IF(Prioritering!K44&lt;H$8,Prioritering!E44,""),"")</f>
        <v>Kirkebjergvej</v>
      </c>
      <c r="AT48" s="174">
        <f ca="1">IF(AS48="","",Prioritering!G44)</f>
        <v>6.6692499999999999</v>
      </c>
      <c r="AU48" s="177" t="str">
        <f ca="1">IF(AV48="","",COUNT(AU$18:AU47)+1)</f>
        <v/>
      </c>
      <c r="AV48" s="177" t="str">
        <f ca="1">IF(Prioritering!K44&lt;Forside!H$9,Prioritering!E44,"")</f>
        <v/>
      </c>
      <c r="AW48" s="177" t="str">
        <f ca="1">IF(AV48="","",Prioritering!G44)</f>
        <v/>
      </c>
    </row>
    <row r="49" spans="2:49" ht="15" customHeight="1" x14ac:dyDescent="0.25">
      <c r="B49" s="205" t="str">
        <f ca="1">IFERROR(VLOOKUP(26,AL:AN,2,FALSE),"")</f>
        <v/>
      </c>
      <c r="C49" s="206" t="str">
        <f ca="1">IFERROR(VLOOKUP(26,AL:AN,3,FALSE),"")</f>
        <v/>
      </c>
      <c r="F49" s="213" t="str">
        <f ca="1">IFERROR(VLOOKUP(26,AO:AQ,2,FALSE),"")</f>
        <v/>
      </c>
      <c r="G49" s="214" t="str">
        <f ca="1">IFERROR(VLOOKUP(26,AO:AQ,3,FALSE),"")</f>
        <v/>
      </c>
      <c r="J49" s="215" t="str">
        <f ca="1">IFERROR(VLOOKUP(26,AR:AT,2,FALSE),"")</f>
        <v/>
      </c>
      <c r="K49" s="216" t="str">
        <f ca="1">IFERROR(VLOOKUP(26,AR:AT,3,FALSE),"")</f>
        <v/>
      </c>
      <c r="N49" s="217" t="str">
        <f ca="1">IFERROR(VLOOKUP(26,AU:AW,2,FALSE),"")</f>
        <v/>
      </c>
      <c r="O49" s="218" t="str">
        <f ca="1">IFERROR(VLOOKUP(26,AU:AW,3,FALSE),"")</f>
        <v/>
      </c>
      <c r="AL49" s="165" t="str">
        <f ca="1">IF(AM49="","",COUNT(AL$18:AL48)+1)</f>
        <v/>
      </c>
      <c r="AM49" s="165" t="str">
        <f ca="1">IF(Prioritering!K45&gt;=Forside!H$7,Prioritering!E45,"")</f>
        <v/>
      </c>
      <c r="AN49" s="165" t="str">
        <f ca="1">IF(AM49="","",Prioritering!G45)</f>
        <v/>
      </c>
      <c r="AO49" s="159" t="str">
        <f ca="1">IF(AP49="","",COUNT(AO$18:AO48)+1)</f>
        <v/>
      </c>
      <c r="AP49" s="172" t="str">
        <f ca="1">IF(Prioritering!K45&gt;=Forside!H$8,IF(Prioritering!K45&lt;H$7,Prioritering!E45,""),"")</f>
        <v/>
      </c>
      <c r="AQ49" s="159" t="str">
        <f ca="1">IF(AP49="","",Prioritering!G45)</f>
        <v/>
      </c>
      <c r="AR49" s="174">
        <f ca="1">IF(AS49="","",COUNT(AR$18:AR48)+1)</f>
        <v>10</v>
      </c>
      <c r="AS49" s="174" t="str">
        <f ca="1">IF(Prioritering!K45&gt;=Forside!H$9,IF(Prioritering!K45&lt;H$8,Prioritering!E45,""),"")</f>
        <v>Thorsagervej ml. Skolevej og Ebeltoftvej</v>
      </c>
      <c r="AT49" s="174">
        <f ca="1">IF(AS49="","",Prioritering!G45)</f>
        <v>1.8540000000000001</v>
      </c>
      <c r="AU49" s="177" t="str">
        <f ca="1">IF(AV49="","",COUNT(AU$18:AU48)+1)</f>
        <v/>
      </c>
      <c r="AV49" s="177" t="str">
        <f ca="1">IF(Prioritering!K45&lt;Forside!H$9,Prioritering!E45,"")</f>
        <v/>
      </c>
      <c r="AW49" s="177" t="str">
        <f ca="1">IF(AV49="","",Prioritering!G45)</f>
        <v/>
      </c>
    </row>
    <row r="50" spans="2:49" ht="15" customHeight="1" x14ac:dyDescent="0.25">
      <c r="B50" s="205" t="str">
        <f ca="1">IFERROR(VLOOKUP(27,AL:AN,2,FALSE),"")</f>
        <v/>
      </c>
      <c r="C50" s="206" t="str">
        <f ca="1">IFERROR(VLOOKUP(27,AL:AN,3,FALSE),"")</f>
        <v/>
      </c>
      <c r="F50" s="213" t="str">
        <f ca="1">IFERROR(VLOOKUP(27,AO:AQ,2,FALSE),"")</f>
        <v/>
      </c>
      <c r="G50" s="214" t="str">
        <f ca="1">IFERROR(VLOOKUP(27,AO:AQ,3,FALSE),"")</f>
        <v/>
      </c>
      <c r="J50" s="215" t="str">
        <f ca="1">IFERROR(VLOOKUP(27,AR:AT,2,FALSE),"")</f>
        <v/>
      </c>
      <c r="K50" s="216" t="str">
        <f ca="1">IFERROR(VLOOKUP(27,AR:AT,3,FALSE),"")</f>
        <v/>
      </c>
      <c r="N50" s="217" t="str">
        <f ca="1">IFERROR(VLOOKUP(27,AU:AW,2,FALSE),"")</f>
        <v/>
      </c>
      <c r="O50" s="218" t="str">
        <f ca="1">IFERROR(VLOOKUP(27,AU:AW,3,FALSE),"")</f>
        <v/>
      </c>
      <c r="AL50" s="165" t="str">
        <f ca="1">IF(AM50="","",COUNT(AL$18:AL49)+1)</f>
        <v/>
      </c>
      <c r="AM50" s="165" t="str">
        <f ca="1">IF(Prioritering!K46&gt;=Forside!H$7,Prioritering!E46,"")</f>
        <v/>
      </c>
      <c r="AN50" s="165" t="str">
        <f ca="1">IF(AM50="","",Prioritering!G46)</f>
        <v/>
      </c>
      <c r="AO50" s="159" t="str">
        <f ca="1">IF(AP50="","",COUNT(AO$18:AO49)+1)</f>
        <v/>
      </c>
      <c r="AP50" s="172" t="str">
        <f ca="1">IF(Prioritering!K46&gt;=Forside!H$8,IF(Prioritering!K46&lt;H$7,Prioritering!E46,""),"")</f>
        <v/>
      </c>
      <c r="AQ50" s="159" t="str">
        <f ca="1">IF(AP50="","",Prioritering!G46)</f>
        <v/>
      </c>
      <c r="AR50" s="174">
        <f ca="1">IF(AS50="","",COUNT(AR$18:AR49)+1)</f>
        <v>11</v>
      </c>
      <c r="AS50" s="174" t="str">
        <f ca="1">IF(Prioritering!K46&gt;=Forside!H$9,IF(Prioritering!K46&lt;H$8,Prioritering!E46,""),"")</f>
        <v>Stenledvej</v>
      </c>
      <c r="AT50" s="174">
        <f ca="1">IF(AS50="","",Prioritering!G46)</f>
        <v>6.9524999999999997</v>
      </c>
      <c r="AU50" s="177" t="str">
        <f ca="1">IF(AV50="","",COUNT(AU$18:AU49)+1)</f>
        <v/>
      </c>
      <c r="AV50" s="177" t="str">
        <f ca="1">IF(Prioritering!K46&lt;Forside!H$9,Prioritering!E46,"")</f>
        <v/>
      </c>
      <c r="AW50" s="177" t="str">
        <f ca="1">IF(AV50="","",Prioritering!G46)</f>
        <v/>
      </c>
    </row>
    <row r="51" spans="2:49" ht="15" customHeight="1" x14ac:dyDescent="0.25">
      <c r="B51" s="205" t="str">
        <f ca="1">IFERROR(VLOOKUP(28,AL:AN,2,FALSE),"")</f>
        <v/>
      </c>
      <c r="C51" s="206" t="str">
        <f ca="1">IFERROR(VLOOKUP(28,AL:AN,3,FALSE),"")</f>
        <v/>
      </c>
      <c r="F51" s="213" t="str">
        <f ca="1">IFERROR(VLOOKUP(28,AO:AQ,2,FALSE),"")</f>
        <v/>
      </c>
      <c r="G51" s="214" t="str">
        <f ca="1">IFERROR(VLOOKUP(28,AO:AQ,3,FALSE),"")</f>
        <v/>
      </c>
      <c r="J51" s="215" t="str">
        <f ca="1">IFERROR(VLOOKUP(28,AR:AT,2,FALSE),"")</f>
        <v/>
      </c>
      <c r="K51" s="216" t="str">
        <f ca="1">IFERROR(VLOOKUP(28,AR:AT,3,FALSE),"")</f>
        <v/>
      </c>
      <c r="N51" s="217" t="str">
        <f ca="1">IFERROR(VLOOKUP(28,AU:AW,2,FALSE),"")</f>
        <v/>
      </c>
      <c r="O51" s="218" t="str">
        <f ca="1">IFERROR(VLOOKUP(28,AU:AW,3,FALSE),"")</f>
        <v/>
      </c>
      <c r="AL51" s="165" t="str">
        <f ca="1">IF(AM51="","",COUNT(AL$18:AL50)+1)</f>
        <v/>
      </c>
      <c r="AM51" s="165" t="str">
        <f ca="1">IF(Prioritering!K47&gt;=Forside!H$7,Prioritering!E47,"")</f>
        <v/>
      </c>
      <c r="AN51" s="165" t="str">
        <f ca="1">IF(AM51="","",Prioritering!G47)</f>
        <v/>
      </c>
      <c r="AO51" s="159" t="str">
        <f ca="1">IF(AP51="","",COUNT(AO$18:AO50)+1)</f>
        <v/>
      </c>
      <c r="AP51" s="172" t="str">
        <f ca="1">IF(Prioritering!K47&gt;=Forside!H$8,IF(Prioritering!K47&lt;H$7,Prioritering!E47,""),"")</f>
        <v/>
      </c>
      <c r="AQ51" s="159" t="str">
        <f ca="1">IF(AP51="","",Prioritering!G47)</f>
        <v/>
      </c>
      <c r="AR51" s="174">
        <f ca="1">IF(AS51="","",COUNT(AR$18:AR50)+1)</f>
        <v>12</v>
      </c>
      <c r="AS51" s="174" t="str">
        <f ca="1">IF(Prioritering!K47&gt;=Forside!H$9,IF(Prioritering!K47&lt;H$8,Prioritering!E47,""),"")</f>
        <v>Auningvej</v>
      </c>
      <c r="AT51" s="174">
        <f ca="1">IF(AS51="","",Prioritering!G47)</f>
        <v>21.063500000000001</v>
      </c>
      <c r="AU51" s="177" t="str">
        <f ca="1">IF(AV51="","",COUNT(AU$18:AU50)+1)</f>
        <v/>
      </c>
      <c r="AV51" s="177" t="str">
        <f ca="1">IF(Prioritering!K47&lt;Forside!H$9,Prioritering!E47,"")</f>
        <v/>
      </c>
      <c r="AW51" s="177" t="str">
        <f ca="1">IF(AV51="","",Prioritering!G47)</f>
        <v/>
      </c>
    </row>
    <row r="52" spans="2:49" ht="15" customHeight="1" x14ac:dyDescent="0.25">
      <c r="B52" s="205" t="str">
        <f ca="1">IFERROR(VLOOKUP(29,AL:AN,2,FALSE),"")</f>
        <v/>
      </c>
      <c r="C52" s="206" t="str">
        <f ca="1">IFERROR(VLOOKUP(29,AL:AN,3,FALSE),"")</f>
        <v/>
      </c>
      <c r="F52" s="213" t="str">
        <f ca="1">IFERROR(VLOOKUP(29,AO:AQ,2,FALSE),"")</f>
        <v/>
      </c>
      <c r="G52" s="214" t="str">
        <f ca="1">IFERROR(VLOOKUP(29,AO:AQ,3,FALSE),"")</f>
        <v/>
      </c>
      <c r="J52" s="215" t="str">
        <f ca="1">IFERROR(VLOOKUP(29,AR:AT,2,FALSE),"")</f>
        <v/>
      </c>
      <c r="K52" s="216" t="str">
        <f ca="1">IFERROR(VLOOKUP(29,AR:AT,3,FALSE),"")</f>
        <v/>
      </c>
      <c r="N52" s="217" t="str">
        <f ca="1">IFERROR(VLOOKUP(29,AU:AW,2,FALSE),"")</f>
        <v/>
      </c>
      <c r="O52" s="218" t="str">
        <f ca="1">IFERROR(VLOOKUP(29,AU:AW,3,FALSE),"")</f>
        <v/>
      </c>
      <c r="AL52" s="165" t="str">
        <f ca="1">IF(AM52="","",COUNT(AL$18:AL51)+1)</f>
        <v/>
      </c>
      <c r="AM52" s="165" t="str">
        <f ca="1">IF(Prioritering!K48&gt;=Forside!H$7,Prioritering!E48,"")</f>
        <v/>
      </c>
      <c r="AN52" s="165" t="str">
        <f ca="1">IF(AM52="","",Prioritering!G48)</f>
        <v/>
      </c>
      <c r="AO52" s="159" t="str">
        <f ca="1">IF(AP52="","",COUNT(AO$18:AO51)+1)</f>
        <v/>
      </c>
      <c r="AP52" s="172" t="str">
        <f ca="1">IF(Prioritering!K48&gt;=Forside!H$8,IF(Prioritering!K48&lt;H$7,Prioritering!E48,""),"")</f>
        <v/>
      </c>
      <c r="AQ52" s="159" t="str">
        <f ca="1">IF(AP52="","",Prioritering!G48)</f>
        <v/>
      </c>
      <c r="AR52" s="174">
        <f ca="1">IF(AS52="","",COUNT(AR$18:AR51)+1)</f>
        <v>13</v>
      </c>
      <c r="AS52" s="174" t="str">
        <f ca="1">IF(Prioritering!K48&gt;=Forside!H$9,IF(Prioritering!K48&lt;H$8,Prioritering!E48,""),"")</f>
        <v>Søkjersvej</v>
      </c>
      <c r="AT52" s="174">
        <f ca="1">IF(AS52="","",Prioritering!G48)</f>
        <v>3.8624999999999998</v>
      </c>
      <c r="AU52" s="177" t="str">
        <f ca="1">IF(AV52="","",COUNT(AU$18:AU51)+1)</f>
        <v/>
      </c>
      <c r="AV52" s="177" t="str">
        <f ca="1">IF(Prioritering!K48&lt;Forside!H$9,Prioritering!E48,"")</f>
        <v/>
      </c>
      <c r="AW52" s="177" t="str">
        <f ca="1">IF(AV52="","",Prioritering!G48)</f>
        <v/>
      </c>
    </row>
    <row r="53" spans="2:49" ht="15" customHeight="1" x14ac:dyDescent="0.25">
      <c r="B53" s="205" t="str">
        <f ca="1">IFERROR(VLOOKUP(30,AL:AN,2,FALSE),"")</f>
        <v/>
      </c>
      <c r="C53" s="206" t="str">
        <f ca="1">IFERROR(VLOOKUP(30,AL:AN,3,FALSE),"")</f>
        <v/>
      </c>
      <c r="F53" s="213" t="str">
        <f ca="1">IFERROR(VLOOKUP(30,AO:AQ,2,FALSE),"")</f>
        <v/>
      </c>
      <c r="G53" s="214" t="str">
        <f ca="1">IFERROR(VLOOKUP(30,AO:AQ,3,FALSE),"")</f>
        <v/>
      </c>
      <c r="J53" s="215" t="str">
        <f ca="1">IFERROR(VLOOKUP(30,AR:AT,2,FALSE),"")</f>
        <v/>
      </c>
      <c r="K53" s="216" t="str">
        <f ca="1">IFERROR(VLOOKUP(30,AR:AT,3,FALSE),"")</f>
        <v/>
      </c>
      <c r="N53" s="217" t="str">
        <f ca="1">IFERROR(VLOOKUP(30,AU:AW,2,FALSE),"")</f>
        <v/>
      </c>
      <c r="O53" s="218" t="str">
        <f ca="1">IFERROR(VLOOKUP(30,AU:AW,3,FALSE),"")</f>
        <v/>
      </c>
      <c r="AL53" s="165" t="str">
        <f ca="1">IF(AM53="","",COUNT(AL$18:AL52)+1)</f>
        <v/>
      </c>
      <c r="AM53" s="165" t="str">
        <f ca="1">IF(Prioritering!K49&gt;=Forside!H$7,Prioritering!E49,"")</f>
        <v/>
      </c>
      <c r="AN53" s="165" t="str">
        <f ca="1">IF(AM53="","",Prioritering!G49)</f>
        <v/>
      </c>
      <c r="AO53" s="159" t="str">
        <f ca="1">IF(AP53="","",COUNT(AO$18:AO52)+1)</f>
        <v/>
      </c>
      <c r="AP53" s="172" t="str">
        <f ca="1">IF(Prioritering!K49&gt;=Forside!H$8,IF(Prioritering!K49&lt;H$7,Prioritering!E49,""),"")</f>
        <v/>
      </c>
      <c r="AQ53" s="159" t="str">
        <f ca="1">IF(AP53="","",Prioritering!G49)</f>
        <v/>
      </c>
      <c r="AR53" s="174">
        <f ca="1">IF(AS53="","",COUNT(AR$18:AR52)+1)</f>
        <v>14</v>
      </c>
      <c r="AS53" s="174" t="str">
        <f ca="1">IF(Prioritering!K49&gt;=Forside!H$9,IF(Prioritering!K49&lt;H$8,Prioritering!E49,""),"")</f>
        <v>Frederiks Allé</v>
      </c>
      <c r="AT53" s="174">
        <f ca="1">IF(AS53="","",Prioritering!G49)</f>
        <v>1.2617499999999999</v>
      </c>
      <c r="AU53" s="177" t="str">
        <f ca="1">IF(AV53="","",COUNT(AU$18:AU52)+1)</f>
        <v/>
      </c>
      <c r="AV53" s="177" t="str">
        <f ca="1">IF(Prioritering!K49&lt;Forside!H$9,Prioritering!E49,"")</f>
        <v/>
      </c>
      <c r="AW53" s="177" t="str">
        <f ca="1">IF(AV53="","",Prioritering!G49)</f>
        <v/>
      </c>
    </row>
    <row r="54" spans="2:49" ht="15" customHeight="1" x14ac:dyDescent="0.25">
      <c r="B54" s="205" t="str">
        <f ca="1">IFERROR(VLOOKUP(31,AL:AN,2,FALSE),"")</f>
        <v/>
      </c>
      <c r="C54" s="206" t="str">
        <f ca="1">IFERROR(VLOOKUP(31,AL:AN,3,FALSE),"")</f>
        <v/>
      </c>
      <c r="F54" s="213" t="str">
        <f ca="1">IFERROR(VLOOKUP(31,AO:AQ,2,FALSE),"")</f>
        <v/>
      </c>
      <c r="G54" s="214" t="str">
        <f ca="1">IFERROR(VLOOKUP(31,AO:AQ,3,FALSE),"")</f>
        <v/>
      </c>
      <c r="J54" s="215" t="str">
        <f ca="1">IFERROR(VLOOKUP(31,AR:AT,2,FALSE),"")</f>
        <v/>
      </c>
      <c r="K54" s="216" t="str">
        <f ca="1">IFERROR(VLOOKUP(31,AR:AT,3,FALSE),"")</f>
        <v/>
      </c>
      <c r="N54" s="217" t="str">
        <f ca="1">IFERROR(VLOOKUP(31,AU:AW,2,FALSE),"")</f>
        <v/>
      </c>
      <c r="O54" s="218" t="str">
        <f ca="1">IFERROR(VLOOKUP(31,AU:AW,3,FALSE),"")</f>
        <v/>
      </c>
      <c r="AL54" s="165" t="str">
        <f ca="1">IF(AM54="","",COUNT(AL$18:AL53)+1)</f>
        <v/>
      </c>
      <c r="AM54" s="165" t="str">
        <f ca="1">IF(Prioritering!K50&gt;=Forside!H$7,Prioritering!E50,"")</f>
        <v/>
      </c>
      <c r="AN54" s="165" t="str">
        <f ca="1">IF(AM54="","",Prioritering!G50)</f>
        <v/>
      </c>
      <c r="AO54" s="159" t="str">
        <f ca="1">IF(AP54="","",COUNT(AO$18:AO53)+1)</f>
        <v/>
      </c>
      <c r="AP54" s="172" t="str">
        <f ca="1">IF(Prioritering!K50&gt;=Forside!H$8,IF(Prioritering!K50&lt;H$7,Prioritering!E50,""),"")</f>
        <v/>
      </c>
      <c r="AQ54" s="159" t="str">
        <f ca="1">IF(AP54="","",Prioritering!G50)</f>
        <v/>
      </c>
      <c r="AR54" s="174">
        <f ca="1">IF(AS54="","",COUNT(AR$18:AR53)+1)</f>
        <v>15</v>
      </c>
      <c r="AS54" s="174" t="str">
        <f ca="1">IF(Prioritering!K50&gt;=Forside!H$9,IF(Prioritering!K50&lt;H$8,Prioritering!E50,""),"")</f>
        <v>Møllebækvej</v>
      </c>
      <c r="AT54" s="174">
        <f ca="1">IF(AS54="","",Prioritering!G50)</f>
        <v>3.7981250000000002</v>
      </c>
      <c r="AU54" s="177" t="str">
        <f ca="1">IF(AV54="","",COUNT(AU$18:AU53)+1)</f>
        <v/>
      </c>
      <c r="AV54" s="177" t="str">
        <f ca="1">IF(Prioritering!K50&lt;Forside!H$9,Prioritering!E50,"")</f>
        <v/>
      </c>
      <c r="AW54" s="177" t="str">
        <f ca="1">IF(AV54="","",Prioritering!G50)</f>
        <v/>
      </c>
    </row>
    <row r="55" spans="2:49" ht="15" customHeight="1" x14ac:dyDescent="0.25">
      <c r="B55" s="205" t="str">
        <f ca="1">IFERROR(VLOOKUP(32,AL:AN,2,FALSE),"")</f>
        <v/>
      </c>
      <c r="C55" s="206" t="str">
        <f ca="1">IFERROR(VLOOKUP(32,AL:AN,3,FALSE),"")</f>
        <v/>
      </c>
      <c r="F55" s="213" t="str">
        <f ca="1">IFERROR(VLOOKUP(32,AO:AQ,2,FALSE),"")</f>
        <v/>
      </c>
      <c r="G55" s="214" t="str">
        <f ca="1">IFERROR(VLOOKUP(32,AO:AQ,3,FALSE),"")</f>
        <v/>
      </c>
      <c r="J55" s="215" t="str">
        <f ca="1">IFERROR(VLOOKUP(32,AR:AT,2,FALSE),"")</f>
        <v/>
      </c>
      <c r="K55" s="216" t="str">
        <f ca="1">IFERROR(VLOOKUP(32,AR:AT,3,FALSE),"")</f>
        <v/>
      </c>
      <c r="N55" s="217" t="str">
        <f ca="1">IFERROR(VLOOKUP(32,AU:AW,2,FALSE),"")</f>
        <v/>
      </c>
      <c r="O55" s="218" t="str">
        <f ca="1">IFERROR(VLOOKUP(32,AU:AW,3,FALSE),"")</f>
        <v/>
      </c>
      <c r="AL55" s="165" t="str">
        <f ca="1">IF(AM55="","",COUNT(AL$18:AL54)+1)</f>
        <v/>
      </c>
      <c r="AM55" s="165" t="str">
        <f ca="1">IF(Prioritering!K51&gt;=Forside!H$7,Prioritering!E51,"")</f>
        <v/>
      </c>
      <c r="AN55" s="165" t="str">
        <f ca="1">IF(AM55="","",Prioritering!G51)</f>
        <v/>
      </c>
      <c r="AO55" s="159" t="str">
        <f ca="1">IF(AP55="","",COUNT(AO$18:AO54)+1)</f>
        <v/>
      </c>
      <c r="AP55" s="172" t="str">
        <f ca="1">IF(Prioritering!K51&gt;=Forside!H$8,IF(Prioritering!K51&lt;H$7,Prioritering!E51,""),"")</f>
        <v/>
      </c>
      <c r="AQ55" s="159" t="str">
        <f ca="1">IF(AP55="","",Prioritering!G51)</f>
        <v/>
      </c>
      <c r="AR55" s="174">
        <f ca="1">IF(AS55="","",COUNT(AR$18:AR54)+1)</f>
        <v>16</v>
      </c>
      <c r="AS55" s="174" t="str">
        <f ca="1">IF(Prioritering!K51&gt;=Forside!H$9,IF(Prioritering!K51&lt;H$8,Prioritering!E51,""),"")</f>
        <v>Hovdigevej</v>
      </c>
      <c r="AT55" s="174">
        <f ca="1">IF(AS55="","",Prioritering!G51)</f>
        <v>6.3087499999999999</v>
      </c>
      <c r="AU55" s="177" t="str">
        <f ca="1">IF(AV55="","",COUNT(AU$18:AU54)+1)</f>
        <v/>
      </c>
      <c r="AV55" s="177" t="str">
        <f ca="1">IF(Prioritering!K51&lt;Forside!H$9,Prioritering!E51,"")</f>
        <v/>
      </c>
      <c r="AW55" s="177" t="str">
        <f ca="1">IF(AV55="","",Prioritering!G51)</f>
        <v/>
      </c>
    </row>
    <row r="56" spans="2:49" ht="15" customHeight="1" x14ac:dyDescent="0.25">
      <c r="B56" s="205" t="str">
        <f ca="1">IFERROR(VLOOKUP(33,AL:AN,2,FALSE),"")</f>
        <v/>
      </c>
      <c r="C56" s="206" t="str">
        <f ca="1">IFERROR(VLOOKUP(33,AL:AN,3,FALSE),"")</f>
        <v/>
      </c>
      <c r="F56" s="213" t="str">
        <f ca="1">IFERROR(VLOOKUP(33,AO:AQ,2,FALSE),"")</f>
        <v/>
      </c>
      <c r="G56" s="214" t="str">
        <f ca="1">IFERROR(VLOOKUP(33,AO:AQ,3,FALSE),"")</f>
        <v/>
      </c>
      <c r="J56" s="215" t="str">
        <f ca="1">IFERROR(VLOOKUP(33,AR:AT,2,FALSE),"")</f>
        <v/>
      </c>
      <c r="K56" s="216" t="str">
        <f ca="1">IFERROR(VLOOKUP(33,AR:AT,3,FALSE),"")</f>
        <v/>
      </c>
      <c r="N56" s="217" t="str">
        <f ca="1">IFERROR(VLOOKUP(33,AU:AW,2,FALSE),"")</f>
        <v/>
      </c>
      <c r="O56" s="218" t="str">
        <f ca="1">IFERROR(VLOOKUP(33,AU:AW,3,FALSE),"")</f>
        <v/>
      </c>
      <c r="AL56" s="165" t="str">
        <f ca="1">IF(AM56="","",COUNT(AL$18:AL55)+1)</f>
        <v/>
      </c>
      <c r="AM56" s="165" t="str">
        <f ca="1">IF(Prioritering!K52&gt;=Forside!H$7,Prioritering!E52,"")</f>
        <v/>
      </c>
      <c r="AN56" s="165" t="str">
        <f ca="1">IF(AM56="","",Prioritering!G52)</f>
        <v/>
      </c>
      <c r="AO56" s="159" t="str">
        <f ca="1">IF(AP56="","",COUNT(AO$18:AO55)+1)</f>
        <v/>
      </c>
      <c r="AP56" s="172" t="str">
        <f ca="1">IF(Prioritering!K52&gt;=Forside!H$8,IF(Prioritering!K52&lt;H$7,Prioritering!E52,""),"")</f>
        <v/>
      </c>
      <c r="AQ56" s="159" t="str">
        <f ca="1">IF(AP56="","",Prioritering!G52)</f>
        <v/>
      </c>
      <c r="AR56" s="174">
        <f ca="1">IF(AS56="","",COUNT(AR$18:AR55)+1)</f>
        <v>17</v>
      </c>
      <c r="AS56" s="174" t="str">
        <f ca="1">IF(Prioritering!K52&gt;=Forside!H$9,IF(Prioritering!K52&lt;H$8,Prioritering!E52,""),"")</f>
        <v>Stenledvej-Havmøllevej</v>
      </c>
      <c r="AT56" s="174">
        <f ca="1">IF(AS56="","",Prioritering!G52)</f>
        <v>11.20125</v>
      </c>
      <c r="AU56" s="177" t="str">
        <f ca="1">IF(AV56="","",COUNT(AU$18:AU55)+1)</f>
        <v/>
      </c>
      <c r="AV56" s="177" t="str">
        <f ca="1">IF(Prioritering!K52&lt;Forside!H$9,Prioritering!E52,"")</f>
        <v/>
      </c>
      <c r="AW56" s="177" t="str">
        <f ca="1">IF(AV56="","",Prioritering!G52)</f>
        <v/>
      </c>
    </row>
    <row r="57" spans="2:49" ht="15" customHeight="1" x14ac:dyDescent="0.25">
      <c r="B57" s="205" t="str">
        <f ca="1">IFERROR(VLOOKUP(34,AL:AN,2,FALSE),"")</f>
        <v/>
      </c>
      <c r="C57" s="206" t="str">
        <f ca="1">IFERROR(VLOOKUP(34,AL:AN,3,FALSE),"")</f>
        <v/>
      </c>
      <c r="F57" s="213" t="str">
        <f ca="1">IFERROR(VLOOKUP(34,AO:AQ,2,FALSE),"")</f>
        <v/>
      </c>
      <c r="G57" s="214" t="str">
        <f ca="1">IFERROR(VLOOKUP(34,AO:AQ,3,FALSE),"")</f>
        <v/>
      </c>
      <c r="J57" s="215" t="str">
        <f ca="1">IFERROR(VLOOKUP(34,AR:AT,2,FALSE),"")</f>
        <v/>
      </c>
      <c r="K57" s="216" t="str">
        <f ca="1">IFERROR(VLOOKUP(34,AR:AT,3,FALSE),"")</f>
        <v/>
      </c>
      <c r="N57" s="217" t="str">
        <f ca="1">IFERROR(VLOOKUP(34,AU:AW,2,FALSE),"")</f>
        <v/>
      </c>
      <c r="O57" s="218" t="str">
        <f ca="1">IFERROR(VLOOKUP(34,AU:AW,3,FALSE),"")</f>
        <v/>
      </c>
      <c r="AL57" s="165" t="str">
        <f ca="1">IF(AM57="","",COUNT(AL$18:AL56)+1)</f>
        <v/>
      </c>
      <c r="AM57" s="165" t="str">
        <f ca="1">IF(Prioritering!K53&gt;=Forside!H$7,Prioritering!E53,"")</f>
        <v/>
      </c>
      <c r="AN57" s="165" t="str">
        <f ca="1">IF(AM57="","",Prioritering!G53)</f>
        <v/>
      </c>
      <c r="AO57" s="159" t="str">
        <f ca="1">IF(AP57="","",COUNT(AO$18:AO56)+1)</f>
        <v/>
      </c>
      <c r="AP57" s="172" t="str">
        <f ca="1">IF(Prioritering!K53&gt;=Forside!H$8,IF(Prioritering!K53&lt;H$7,Prioritering!E53,""),"")</f>
        <v/>
      </c>
      <c r="AQ57" s="159" t="str">
        <f ca="1">IF(AP57="","",Prioritering!G53)</f>
        <v/>
      </c>
      <c r="AR57" s="174">
        <f ca="1">IF(AS57="","",COUNT(AR$18:AR56)+1)</f>
        <v>18</v>
      </c>
      <c r="AS57" s="174" t="str">
        <f ca="1">IF(Prioritering!K53&gt;=Forside!H$9,IF(Prioritering!K53&lt;H$8,Prioritering!E53,""),"")</f>
        <v>Havmøllevej-Hovdigevej</v>
      </c>
      <c r="AT57" s="174">
        <f ca="1">IF(AS57="","",Prioritering!G53)</f>
        <v>17.381250000000001</v>
      </c>
      <c r="AU57" s="177" t="str">
        <f ca="1">IF(AV57="","",COUNT(AU$18:AU56)+1)</f>
        <v/>
      </c>
      <c r="AV57" s="177" t="str">
        <f ca="1">IF(Prioritering!K53&lt;Forside!H$9,Prioritering!E53,"")</f>
        <v/>
      </c>
      <c r="AW57" s="177" t="str">
        <f ca="1">IF(AV57="","",Prioritering!G53)</f>
        <v/>
      </c>
    </row>
    <row r="58" spans="2:49" ht="15" customHeight="1" x14ac:dyDescent="0.25">
      <c r="B58" s="205" t="str">
        <f ca="1">IFERROR(VLOOKUP(35,AL:AN,2,FALSE),"")</f>
        <v/>
      </c>
      <c r="C58" s="206" t="str">
        <f ca="1">IFERROR(VLOOKUP(35,AL:AN,3,FALSE),"")</f>
        <v/>
      </c>
      <c r="F58" s="213" t="str">
        <f ca="1">IFERROR(VLOOKUP(35,AO:AQ,2,FALSE),"")</f>
        <v/>
      </c>
      <c r="G58" s="214" t="str">
        <f ca="1">IFERROR(VLOOKUP(35,AO:AQ,3,FALSE),"")</f>
        <v/>
      </c>
      <c r="J58" s="215" t="str">
        <f ca="1">IFERROR(VLOOKUP(35,AR:AT,2,FALSE),"")</f>
        <v/>
      </c>
      <c r="K58" s="216" t="str">
        <f ca="1">IFERROR(VLOOKUP(35,AR:AT,3,FALSE),"")</f>
        <v/>
      </c>
      <c r="N58" s="217" t="str">
        <f ca="1">IFERROR(VLOOKUP(35,AU:AW,2,FALSE),"")</f>
        <v/>
      </c>
      <c r="O58" s="218" t="str">
        <f ca="1">IFERROR(VLOOKUP(35,AU:AW,3,FALSE),"")</f>
        <v/>
      </c>
      <c r="AL58" s="165" t="str">
        <f ca="1">IF(AM58="","",COUNT(AL$18:AL57)+1)</f>
        <v/>
      </c>
      <c r="AM58" s="165" t="str">
        <f ca="1">IF(Prioritering!K54&gt;=Forside!H$7,Prioritering!E54,"")</f>
        <v/>
      </c>
      <c r="AN58" s="165" t="str">
        <f ca="1">IF(AM58="","",Prioritering!G54)</f>
        <v/>
      </c>
      <c r="AO58" s="159" t="str">
        <f ca="1">IF(AP58="","",COUNT(AO$18:AO57)+1)</f>
        <v/>
      </c>
      <c r="AP58" s="172" t="str">
        <f ca="1">IF(Prioritering!K54&gt;=Forside!H$8,IF(Prioritering!K54&lt;H$7,Prioritering!E54,""),"")</f>
        <v/>
      </c>
      <c r="AQ58" s="159" t="str">
        <f ca="1">IF(AP58="","",Prioritering!G54)</f>
        <v/>
      </c>
      <c r="AR58" s="174">
        <f ca="1">IF(AS58="","",COUNT(AR$18:AR57)+1)</f>
        <v>19</v>
      </c>
      <c r="AS58" s="174" t="str">
        <f ca="1">IF(Prioritering!K54&gt;=Forside!H$9,IF(Prioritering!K54&lt;H$8,Prioritering!E54,""),"")</f>
        <v>Kaløvej - Rønde</v>
      </c>
      <c r="AT58" s="174">
        <f ca="1">IF(AS58="","",Prioritering!G54)</f>
        <v>1.7381249999999999</v>
      </c>
      <c r="AU58" s="177" t="str">
        <f ca="1">IF(AV58="","",COUNT(AU$18:AU57)+1)</f>
        <v/>
      </c>
      <c r="AV58" s="177" t="str">
        <f ca="1">IF(Prioritering!K54&lt;Forside!H$9,Prioritering!E54,"")</f>
        <v/>
      </c>
      <c r="AW58" s="177" t="str">
        <f ca="1">IF(AV58="","",Prioritering!G54)</f>
        <v/>
      </c>
    </row>
    <row r="59" spans="2:49" ht="15" customHeight="1" x14ac:dyDescent="0.25">
      <c r="B59" s="205" t="str">
        <f ca="1">IFERROR(VLOOKUP(36,AL:AN,2,FALSE),"")</f>
        <v/>
      </c>
      <c r="C59" s="206" t="str">
        <f ca="1">IFERROR(VLOOKUP(36,AL:AN,3,FALSE),"")</f>
        <v/>
      </c>
      <c r="F59" s="213" t="str">
        <f ca="1">IFERROR(VLOOKUP(36,AO:AQ,2,FALSE),"")</f>
        <v/>
      </c>
      <c r="G59" s="214" t="str">
        <f ca="1">IFERROR(VLOOKUP(36,AO:AQ,3,FALSE),"")</f>
        <v/>
      </c>
      <c r="J59" s="215" t="str">
        <f ca="1">IFERROR(VLOOKUP(36,AR:AT,2,FALSE),"")</f>
        <v/>
      </c>
      <c r="K59" s="216" t="str">
        <f ca="1">IFERROR(VLOOKUP(36,AR:AT,3,FALSE),"")</f>
        <v/>
      </c>
      <c r="N59" s="217" t="str">
        <f ca="1">IFERROR(VLOOKUP(36,AU:AW,2,FALSE),"")</f>
        <v/>
      </c>
      <c r="O59" s="218" t="str">
        <f ca="1">IFERROR(VLOOKUP(36,AU:AW,3,FALSE),"")</f>
        <v/>
      </c>
      <c r="AL59" s="165" t="str">
        <f ca="1">IF(AM59="","",COUNT(AL$18:AL58)+1)</f>
        <v/>
      </c>
      <c r="AM59" s="165" t="str">
        <f ca="1">IF(Prioritering!K55&gt;=Forside!H$7,Prioritering!E55,"")</f>
        <v/>
      </c>
      <c r="AN59" s="165" t="str">
        <f ca="1">IF(AM59="","",Prioritering!G55)</f>
        <v/>
      </c>
      <c r="AO59" s="159" t="str">
        <f ca="1">IF(AP59="","",COUNT(AO$18:AO58)+1)</f>
        <v/>
      </c>
      <c r="AP59" s="172" t="str">
        <f ca="1">IF(Prioritering!K55&gt;=Forside!H$8,IF(Prioritering!K55&lt;H$7,Prioritering!E55,""),"")</f>
        <v/>
      </c>
      <c r="AQ59" s="159" t="str">
        <f ca="1">IF(AP59="","",Prioritering!G55)</f>
        <v/>
      </c>
      <c r="AR59" s="174">
        <f ca="1">IF(AS59="","",COUNT(AR$18:AR58)+1)</f>
        <v>20</v>
      </c>
      <c r="AS59" s="174" t="str">
        <f ca="1">IF(Prioritering!K55&gt;=Forside!H$9,IF(Prioritering!K55&lt;H$8,Prioritering!E55,""),"")</f>
        <v>Ønbjergvej</v>
      </c>
      <c r="AT59" s="174">
        <f ca="1">IF(AS59="","",Prioritering!G55)</f>
        <v>5.7937500000000002</v>
      </c>
      <c r="AU59" s="177" t="str">
        <f ca="1">IF(AV59="","",COUNT(AU$18:AU58)+1)</f>
        <v/>
      </c>
      <c r="AV59" s="177" t="str">
        <f ca="1">IF(Prioritering!K55&lt;Forside!H$9,Prioritering!E55,"")</f>
        <v/>
      </c>
      <c r="AW59" s="177" t="str">
        <f ca="1">IF(AV59="","",Prioritering!G55)</f>
        <v/>
      </c>
    </row>
    <row r="60" spans="2:49" ht="15" customHeight="1" x14ac:dyDescent="0.25">
      <c r="B60" s="205" t="str">
        <f ca="1">IFERROR(VLOOKUP(37,AL:AN,2,FALSE),"")</f>
        <v/>
      </c>
      <c r="C60" s="206" t="str">
        <f ca="1">IFERROR(VLOOKUP(37,AL:AN,3,FALSE),"")</f>
        <v/>
      </c>
      <c r="F60" s="213" t="str">
        <f ca="1">IFERROR(VLOOKUP(37,AO:AQ,2,FALSE),"")</f>
        <v/>
      </c>
      <c r="G60" s="214" t="str">
        <f ca="1">IFERROR(VLOOKUP(37,AO:AQ,3,FALSE),"")</f>
        <v/>
      </c>
      <c r="J60" s="215" t="str">
        <f ca="1">IFERROR(VLOOKUP(37,AR:AT,2,FALSE),"")</f>
        <v/>
      </c>
      <c r="K60" s="216" t="str">
        <f ca="1">IFERROR(VLOOKUP(37,AR:AT,3,FALSE),"")</f>
        <v/>
      </c>
      <c r="N60" s="217" t="str">
        <f ca="1">IFERROR(VLOOKUP(37,AU:AW,2,FALSE),"")</f>
        <v/>
      </c>
      <c r="O60" s="218" t="str">
        <f ca="1">IFERROR(VLOOKUP(37,AU:AW,3,FALSE),"")</f>
        <v/>
      </c>
      <c r="AL60" s="165" t="str">
        <f ca="1">IF(AM60="","",COUNT(AL$18:AL59)+1)</f>
        <v/>
      </c>
      <c r="AM60" s="165" t="str">
        <f ca="1">IF(Prioritering!K56&gt;=Forside!H$7,Prioritering!E56,"")</f>
        <v/>
      </c>
      <c r="AN60" s="165" t="str">
        <f ca="1">IF(AM60="","",Prioritering!G56)</f>
        <v/>
      </c>
      <c r="AO60" s="159" t="str">
        <f ca="1">IF(AP60="","",COUNT(AO$18:AO59)+1)</f>
        <v/>
      </c>
      <c r="AP60" s="172" t="str">
        <f ca="1">IF(Prioritering!K56&gt;=Forside!H$8,IF(Prioritering!K56&lt;H$7,Prioritering!E56,""),"")</f>
        <v/>
      </c>
      <c r="AQ60" s="159" t="str">
        <f ca="1">IF(AP60="","",Prioritering!G56)</f>
        <v/>
      </c>
      <c r="AR60" s="174">
        <f ca="1">IF(AS60="","",COUNT(AR$18:AR59)+1)</f>
        <v>21</v>
      </c>
      <c r="AS60" s="174" t="str">
        <f ca="1">IF(Prioritering!K56&gt;=Forside!H$9,IF(Prioritering!K56&lt;H$8,Prioritering!E56,""),"")</f>
        <v>Demstrupvej (Hønebjergvej)</v>
      </c>
      <c r="AT60" s="174">
        <f ca="1">IF(AS60="","",Prioritering!G56)</f>
        <v>6.18</v>
      </c>
      <c r="AU60" s="177" t="str">
        <f ca="1">IF(AV60="","",COUNT(AU$18:AU59)+1)</f>
        <v/>
      </c>
      <c r="AV60" s="177" t="str">
        <f ca="1">IF(Prioritering!K56&lt;Forside!H$9,Prioritering!E56,"")</f>
        <v/>
      </c>
      <c r="AW60" s="177" t="str">
        <f ca="1">IF(AV60="","",Prioritering!G56)</f>
        <v/>
      </c>
    </row>
    <row r="61" spans="2:49" ht="15" customHeight="1" x14ac:dyDescent="0.25">
      <c r="B61" s="205" t="str">
        <f ca="1">IFERROR(VLOOKUP(38,AL:AN,2,FALSE),"")</f>
        <v/>
      </c>
      <c r="C61" s="206" t="str">
        <f ca="1">IFERROR(VLOOKUP(38,AL:AN,3,FALSE),"")</f>
        <v/>
      </c>
      <c r="F61" s="213" t="str">
        <f ca="1">IFERROR(VLOOKUP(38,AO:AQ,2,FALSE),"")</f>
        <v/>
      </c>
      <c r="G61" s="214" t="str">
        <f ca="1">IFERROR(VLOOKUP(38,AO:AQ,3,FALSE),"")</f>
        <v/>
      </c>
      <c r="J61" s="215" t="str">
        <f ca="1">IFERROR(VLOOKUP(38,AR:AT,2,FALSE),"")</f>
        <v/>
      </c>
      <c r="K61" s="216" t="str">
        <f ca="1">IFERROR(VLOOKUP(38,AR:AT,3,FALSE),"")</f>
        <v/>
      </c>
      <c r="N61" s="217" t="str">
        <f ca="1">IFERROR(VLOOKUP(38,AU:AW,2,FALSE),"")</f>
        <v/>
      </c>
      <c r="O61" s="218" t="str">
        <f ca="1">IFERROR(VLOOKUP(38,AU:AW,3,FALSE),"")</f>
        <v/>
      </c>
      <c r="P61" t="str">
        <f ca="1">IFERROR(VLOOKUP(50,AU:AW,3,FALSE),"")</f>
        <v/>
      </c>
      <c r="AL61" s="165" t="str">
        <f ca="1">IF(AM61="","",COUNT(AL$18:AL60)+1)</f>
        <v/>
      </c>
      <c r="AM61" s="165" t="str">
        <f ca="1">IF(Prioritering!K57&gt;=Forside!H$7,Prioritering!E57,"")</f>
        <v/>
      </c>
      <c r="AN61" s="165" t="str">
        <f ca="1">IF(AM61="","",Prioritering!G57)</f>
        <v/>
      </c>
      <c r="AO61" s="159" t="str">
        <f ca="1">IF(AP61="","",COUNT(AO$18:AO60)+1)</f>
        <v/>
      </c>
      <c r="AP61" s="172" t="str">
        <f ca="1">IF(Prioritering!K57&gt;=Forside!H$8,IF(Prioritering!K57&lt;H$7,Prioritering!E57,""),"")</f>
        <v/>
      </c>
      <c r="AQ61" s="159" t="str">
        <f ca="1">IF(AP61="","",Prioritering!G57)</f>
        <v/>
      </c>
      <c r="AR61" s="174">
        <f ca="1">IF(AS61="","",COUNT(AR$18:AR60)+1)</f>
        <v>22</v>
      </c>
      <c r="AS61" s="174" t="str">
        <f ca="1">IF(Prioritering!K57&gt;=Forside!H$9,IF(Prioritering!K57&lt;H$8,Prioritering!E57,""),"")</f>
        <v>Grenåvej</v>
      </c>
      <c r="AT61" s="174">
        <f ca="1">IF(AS61="","",Prioritering!G57)</f>
        <v>7.0812499999999998</v>
      </c>
      <c r="AU61" s="177" t="str">
        <f ca="1">IF(AV61="","",COUNT(AU$18:AU60)+1)</f>
        <v/>
      </c>
      <c r="AV61" s="177" t="str">
        <f ca="1">IF(Prioritering!K57&lt;Forside!H$9,Prioritering!E57,"")</f>
        <v/>
      </c>
      <c r="AW61" s="177" t="str">
        <f ca="1">IF(AV61="","",Prioritering!G57)</f>
        <v/>
      </c>
    </row>
    <row r="62" spans="2:49" ht="15" customHeight="1" x14ac:dyDescent="0.25">
      <c r="B62" s="205" t="str">
        <f ca="1">IFERROR(VLOOKUP(39,AL:AN,2,FALSE),"")</f>
        <v/>
      </c>
      <c r="C62" s="206" t="str">
        <f ca="1">IFERROR(VLOOKUP(39,AL:AN,3,FALSE),"")</f>
        <v/>
      </c>
      <c r="F62" s="213" t="str">
        <f ca="1">IFERROR(VLOOKUP(39,AO:AQ,2,FALSE),"")</f>
        <v/>
      </c>
      <c r="G62" s="214" t="str">
        <f ca="1">IFERROR(VLOOKUP(39,AO:AQ,3,FALSE),"")</f>
        <v/>
      </c>
      <c r="J62" s="215" t="str">
        <f ca="1">IFERROR(VLOOKUP(39,AR:AT,2,FALSE),"")</f>
        <v/>
      </c>
      <c r="K62" s="216" t="str">
        <f ca="1">IFERROR(VLOOKUP(39,AR:AT,3,FALSE),"")</f>
        <v/>
      </c>
      <c r="N62" s="217" t="str">
        <f ca="1">IFERROR(VLOOKUP(39,AU:AW,2,FALSE),"")</f>
        <v/>
      </c>
      <c r="O62" s="218" t="str">
        <f ca="1">IFERROR(VLOOKUP(39,AU:AW,3,FALSE),"")</f>
        <v/>
      </c>
      <c r="AL62" s="165" t="str">
        <f ca="1">IF(AM62="","",COUNT(AL$18:AL61)+1)</f>
        <v/>
      </c>
      <c r="AM62" s="165" t="str">
        <f ca="1">IF(Prioritering!K58&gt;=Forside!H$7,Prioritering!E58,"")</f>
        <v/>
      </c>
      <c r="AN62" s="165" t="str">
        <f ca="1">IF(AM62="","",Prioritering!G58)</f>
        <v/>
      </c>
      <c r="AO62" s="159" t="str">
        <f ca="1">IF(AP62="","",COUNT(AO$18:AO61)+1)</f>
        <v/>
      </c>
      <c r="AP62" s="172" t="str">
        <f ca="1">IF(Prioritering!K58&gt;=Forside!H$8,IF(Prioritering!K58&lt;H$7,Prioritering!E58,""),"")</f>
        <v/>
      </c>
      <c r="AQ62" s="159" t="str">
        <f ca="1">IF(AP62="","",Prioritering!G58)</f>
        <v/>
      </c>
      <c r="AR62" s="174">
        <f ca="1">IF(AS62="","",COUNT(AR$18:AR61)+1)</f>
        <v>23</v>
      </c>
      <c r="AS62" s="174" t="str">
        <f ca="1">IF(Prioritering!K58&gt;=Forside!H$9,IF(Prioritering!K58&lt;H$8,Prioritering!E58,""),"")</f>
        <v>Ebeltoft - Egedalsvej</v>
      </c>
      <c r="AT62" s="174">
        <f ca="1">IF(AS62="","",Prioritering!G58)</f>
        <v>2.0085000000000002</v>
      </c>
      <c r="AU62" s="177" t="str">
        <f ca="1">IF(AV62="","",COUNT(AU$18:AU61)+1)</f>
        <v/>
      </c>
      <c r="AV62" s="177" t="str">
        <f ca="1">IF(Prioritering!K58&lt;Forside!H$9,Prioritering!E58,"")</f>
        <v/>
      </c>
      <c r="AW62" s="177" t="str">
        <f ca="1">IF(AV62="","",Prioritering!G58)</f>
        <v/>
      </c>
    </row>
    <row r="63" spans="2:49" ht="15" customHeight="1" x14ac:dyDescent="0.25">
      <c r="B63" s="205" t="str">
        <f ca="1">IFERROR(VLOOKUP(40,AL:AN,2,FALSE),"")</f>
        <v/>
      </c>
      <c r="C63" s="206" t="str">
        <f ca="1">IFERROR(VLOOKUP(40,AL:AN,3,FALSE),"")</f>
        <v/>
      </c>
      <c r="F63" s="213" t="str">
        <f ca="1">IFERROR(VLOOKUP(40,AO:AQ,2,FALSE),"")</f>
        <v/>
      </c>
      <c r="G63" s="214" t="str">
        <f ca="1">IFERROR(VLOOKUP(40,AO:AQ,3,FALSE),"")</f>
        <v/>
      </c>
      <c r="J63" s="215" t="str">
        <f ca="1">IFERROR(VLOOKUP(40,AR:AT,2,FALSE),"")</f>
        <v/>
      </c>
      <c r="K63" s="216" t="str">
        <f ca="1">IFERROR(VLOOKUP(40,AR:AT,3,FALSE),"")</f>
        <v/>
      </c>
      <c r="N63" s="217" t="str">
        <f ca="1">IFERROR(VLOOKUP(40,AU:AW,2,FALSE),"")</f>
        <v/>
      </c>
      <c r="O63" s="218" t="str">
        <f ca="1">IFERROR(VLOOKUP(40,AU:AW,3,FALSE),"")</f>
        <v/>
      </c>
      <c r="AL63" s="165" t="str">
        <f ca="1">IF(AM63="","",COUNT(AL$18:AL62)+1)</f>
        <v/>
      </c>
      <c r="AM63" s="165" t="str">
        <f ca="1">IF(Prioritering!K59&gt;=Forside!H$7,Prioritering!E59,"")</f>
        <v/>
      </c>
      <c r="AN63" s="165" t="str">
        <f ca="1">IF(AM63="","",Prioritering!G59)</f>
        <v/>
      </c>
      <c r="AO63" s="159" t="str">
        <f ca="1">IF(AP63="","",COUNT(AO$18:AO62)+1)</f>
        <v/>
      </c>
      <c r="AP63" s="172" t="str">
        <f ca="1">IF(Prioritering!K59&gt;=Forside!H$8,IF(Prioritering!K59&lt;H$7,Prioritering!E59,""),"")</f>
        <v/>
      </c>
      <c r="AQ63" s="159" t="str">
        <f ca="1">IF(AP63="","",Prioritering!G59)</f>
        <v/>
      </c>
      <c r="AR63" s="174">
        <f ca="1">IF(AS63="","",COUNT(AR$18:AR62)+1)</f>
        <v>24</v>
      </c>
      <c r="AS63" s="174" t="str">
        <f ca="1">IF(Prioritering!K59&gt;=Forside!H$9,IF(Prioritering!K59&lt;H$8,Prioritering!E59,""),"")</f>
        <v>Vestersøvej-Borupvej</v>
      </c>
      <c r="AT63" s="174">
        <f ca="1">IF(AS63="","",Prioritering!G59)</f>
        <v>1.6608750000000001</v>
      </c>
      <c r="AU63" s="177" t="str">
        <f ca="1">IF(AV63="","",COUNT(AU$18:AU62)+1)</f>
        <v/>
      </c>
      <c r="AV63" s="177" t="str">
        <f ca="1">IF(Prioritering!K59&lt;Forside!H$9,Prioritering!E59,"")</f>
        <v/>
      </c>
      <c r="AW63" s="177" t="str">
        <f ca="1">IF(AV63="","",Prioritering!G59)</f>
        <v/>
      </c>
    </row>
    <row r="64" spans="2:49" ht="15" customHeight="1" x14ac:dyDescent="0.25">
      <c r="B64" s="205" t="str">
        <f ca="1">IFERROR(VLOOKUP(41,AL:AN,2,FALSE),"")</f>
        <v/>
      </c>
      <c r="C64" s="206" t="str">
        <f ca="1">IFERROR(VLOOKUP(41,AL:AN,3,FALSE),"")</f>
        <v/>
      </c>
      <c r="F64" s="213" t="str">
        <f ca="1">IFERROR(VLOOKUP(41,AO:AQ,2,FALSE),"")</f>
        <v/>
      </c>
      <c r="G64" s="214" t="str">
        <f ca="1">IFERROR(VLOOKUP(41,AO:AQ,3,FALSE),"")</f>
        <v/>
      </c>
      <c r="J64" s="215" t="str">
        <f ca="1">IFERROR(VLOOKUP(41,AR:AT,2,FALSE),"")</f>
        <v/>
      </c>
      <c r="K64" s="216" t="str">
        <f ca="1">IFERROR(VLOOKUP(41,AR:AT,3,FALSE),"")</f>
        <v/>
      </c>
      <c r="N64" s="217" t="str">
        <f ca="1">IFERROR(VLOOKUP(41,AU:AW,2,FALSE),"")</f>
        <v/>
      </c>
      <c r="O64" s="218" t="str">
        <f ca="1">IFERROR(VLOOKUP(41,AU:AW,3,FALSE),"")</f>
        <v/>
      </c>
      <c r="AL64" s="165" t="str">
        <f ca="1">IF(AM64="","",COUNT(AL$18:AL63)+1)</f>
        <v/>
      </c>
      <c r="AM64" s="165" t="str">
        <f ca="1">IF(Prioritering!K60&gt;=Forside!H$7,Prioritering!E60,"")</f>
        <v/>
      </c>
      <c r="AN64" s="165" t="str">
        <f ca="1">IF(AM64="","",Prioritering!G60)</f>
        <v/>
      </c>
      <c r="AO64" s="159" t="str">
        <f ca="1">IF(AP64="","",COUNT(AO$18:AO63)+1)</f>
        <v/>
      </c>
      <c r="AP64" s="172" t="str">
        <f ca="1">IF(Prioritering!K60&gt;=Forside!H$8,IF(Prioritering!K60&lt;H$7,Prioritering!E60,""),"")</f>
        <v/>
      </c>
      <c r="AQ64" s="159" t="str">
        <f ca="1">IF(AP64="","",Prioritering!G60)</f>
        <v/>
      </c>
      <c r="AR64" s="174">
        <f ca="1">IF(AS64="","",COUNT(AR$18:AR63)+1)</f>
        <v>25</v>
      </c>
      <c r="AS64" s="174" t="str">
        <f ca="1">IF(Prioritering!K60&gt;=Forside!H$9,IF(Prioritering!K60&lt;H$8,Prioritering!E60,""),"")</f>
        <v>Øksenmøllevej-Bækkenvangen</v>
      </c>
      <c r="AT64" s="174">
        <f ca="1">IF(AS64="","",Prioritering!G60)</f>
        <v>10.428750000000001</v>
      </c>
      <c r="AU64" s="177" t="str">
        <f ca="1">IF(AV64="","",COUNT(AU$18:AU63)+1)</f>
        <v/>
      </c>
      <c r="AV64" s="177" t="str">
        <f ca="1">IF(Prioritering!K60&lt;Forside!H$9,Prioritering!E60,"")</f>
        <v/>
      </c>
      <c r="AW64" s="177" t="str">
        <f ca="1">IF(AV64="","",Prioritering!G60)</f>
        <v/>
      </c>
    </row>
    <row r="65" spans="2:49" ht="15" customHeight="1" x14ac:dyDescent="0.25">
      <c r="B65" s="205" t="str">
        <f ca="1">IFERROR(VLOOKUP(42,AL:AN,2,FALSE),"")</f>
        <v/>
      </c>
      <c r="C65" s="206" t="str">
        <f ca="1">IFERROR(VLOOKUP(42,AL:AN,3,FALSE),"")</f>
        <v/>
      </c>
      <c r="F65" s="213" t="str">
        <f ca="1">IFERROR(VLOOKUP(42,AO:AQ,2,FALSE),"")</f>
        <v/>
      </c>
      <c r="G65" s="214" t="str">
        <f ca="1">IFERROR(VLOOKUP(42,AO:AQ,3,FALSE),"")</f>
        <v/>
      </c>
      <c r="J65" s="215" t="str">
        <f ca="1">IFERROR(VLOOKUP(42,AR:AT,2,FALSE),"")</f>
        <v/>
      </c>
      <c r="K65" s="216" t="str">
        <f ca="1">IFERROR(VLOOKUP(42,AR:AT,3,FALSE),"")</f>
        <v/>
      </c>
      <c r="N65" s="217" t="str">
        <f ca="1">IFERROR(VLOOKUP(42,AU:AW,2,FALSE),"")</f>
        <v/>
      </c>
      <c r="O65" s="218" t="str">
        <f ca="1">IFERROR(VLOOKUP(42,AU:AW,3,FALSE),"")</f>
        <v/>
      </c>
      <c r="AL65" s="165" t="str">
        <f ca="1">IF(AM65="","",COUNT(AL$18:AL64)+1)</f>
        <v/>
      </c>
      <c r="AM65" s="165" t="str">
        <f ca="1">IF(Prioritering!K61&gt;=Forside!H$7,Prioritering!E61,"")</f>
        <v/>
      </c>
      <c r="AN65" s="165" t="str">
        <f ca="1">IF(AM65="","",Prioritering!G61)</f>
        <v/>
      </c>
      <c r="AO65" s="159" t="str">
        <f ca="1">IF(AP65="","",COUNT(AO$18:AO64)+1)</f>
        <v/>
      </c>
      <c r="AP65" s="172" t="str">
        <f ca="1">IF(Prioritering!K61&gt;=Forside!H$8,IF(Prioritering!K61&lt;H$7,Prioritering!E61,""),"")</f>
        <v/>
      </c>
      <c r="AQ65" s="159" t="str">
        <f ca="1">IF(AP65="","",Prioritering!G61)</f>
        <v/>
      </c>
      <c r="AR65" s="174" t="str">
        <f ca="1">IF(AS65="","",COUNT(AR$18:AR64)+1)</f>
        <v/>
      </c>
      <c r="AS65" s="174" t="str">
        <f ca="1">IF(Prioritering!K61&gt;=Forside!H$9,IF(Prioritering!K61&lt;H$8,Prioritering!E61,""),"")</f>
        <v/>
      </c>
      <c r="AT65" s="174" t="str">
        <f ca="1">IF(AS65="","",Prioritering!G61)</f>
        <v/>
      </c>
      <c r="AU65" s="177">
        <f ca="1">IF(AV65="","",COUNT(AU$18:AU64)+1)</f>
        <v>1</v>
      </c>
      <c r="AV65" s="177" t="str">
        <f ca="1">IF(Prioritering!K61&lt;Forside!H$9,Prioritering!E61,"")</f>
        <v>Vestre Strandvej</v>
      </c>
      <c r="AW65" s="177">
        <f ca="1">IF(AV65="","",Prioritering!G61)</f>
        <v>6.9524999999999997</v>
      </c>
    </row>
    <row r="66" spans="2:49" ht="15" customHeight="1" x14ac:dyDescent="0.25">
      <c r="B66" s="205" t="str">
        <f ca="1">IFERROR(VLOOKUP(43,AL:AN,2,FALSE),"")</f>
        <v/>
      </c>
      <c r="C66" s="206" t="str">
        <f ca="1">IFERROR(VLOOKUP(43,AL:AN,3,FALSE),"")</f>
        <v/>
      </c>
      <c r="F66" s="213" t="str">
        <f ca="1">IFERROR(VLOOKUP(43,AO:AQ,2,FALSE),"")</f>
        <v/>
      </c>
      <c r="G66" s="214" t="str">
        <f ca="1">IFERROR(VLOOKUP(43,AO:AQ,3,FALSE),"")</f>
        <v/>
      </c>
      <c r="J66" s="215" t="str">
        <f ca="1">IFERROR(VLOOKUP(43,AR:AT,2,FALSE),"")</f>
        <v/>
      </c>
      <c r="K66" s="216" t="str">
        <f ca="1">IFERROR(VLOOKUP(43,AR:AT,3,FALSE),"")</f>
        <v/>
      </c>
      <c r="N66" s="217" t="str">
        <f ca="1">IFERROR(VLOOKUP(43,AU:AW,2,FALSE),"")</f>
        <v/>
      </c>
      <c r="O66" s="218" t="str">
        <f ca="1">IFERROR(VLOOKUP(43,AU:AW,3,FALSE),"")</f>
        <v/>
      </c>
      <c r="AL66" s="165" t="str">
        <f ca="1">IF(AM66="","",COUNT(AL$18:AL65)+1)</f>
        <v/>
      </c>
      <c r="AM66" s="165" t="str">
        <f ca="1">IF(Prioritering!K62&gt;=Forside!H$7,Prioritering!E62,"")</f>
        <v/>
      </c>
      <c r="AN66" s="165" t="str">
        <f ca="1">IF(AM66="","",Prioritering!G62)</f>
        <v/>
      </c>
      <c r="AO66" s="159" t="str">
        <f ca="1">IF(AP66="","",COUNT(AO$18:AO65)+1)</f>
        <v/>
      </c>
      <c r="AP66" s="172" t="str">
        <f ca="1">IF(Prioritering!K62&gt;=Forside!H$8,IF(Prioritering!K62&lt;H$7,Prioritering!E62,""),"")</f>
        <v/>
      </c>
      <c r="AQ66" s="159" t="str">
        <f ca="1">IF(AP66="","",Prioritering!G62)</f>
        <v/>
      </c>
      <c r="AR66" s="174" t="str">
        <f ca="1">IF(AS66="","",COUNT(AR$18:AR65)+1)</f>
        <v/>
      </c>
      <c r="AS66" s="174" t="str">
        <f ca="1">IF(Prioritering!K62&gt;=Forside!H$9,IF(Prioritering!K62&lt;H$8,Prioritering!E62,""),"")</f>
        <v/>
      </c>
      <c r="AT66" s="174" t="str">
        <f ca="1">IF(AS66="","",Prioritering!G62)</f>
        <v/>
      </c>
      <c r="AU66" s="177" t="str">
        <f ca="1">IF(AV66="","",COUNT(AU$18:AU65)+1)</f>
        <v/>
      </c>
      <c r="AV66" s="177" t="str">
        <f ca="1">IF(Prioritering!K62&lt;Forside!H$9,Prioritering!E62,"")</f>
        <v/>
      </c>
      <c r="AW66" s="177" t="str">
        <f ca="1">IF(AV66="","",Prioritering!G62)</f>
        <v/>
      </c>
    </row>
    <row r="67" spans="2:49" ht="15" customHeight="1" x14ac:dyDescent="0.25">
      <c r="B67" s="205" t="str">
        <f ca="1">IFERROR(VLOOKUP(44,AL:AN,2,FALSE),"")</f>
        <v/>
      </c>
      <c r="C67" s="206" t="str">
        <f ca="1">IFERROR(VLOOKUP(44,AL:AN,3,FALSE),"")</f>
        <v/>
      </c>
      <c r="F67" s="213" t="str">
        <f ca="1">IFERROR(VLOOKUP(44,AO:AQ,2,FALSE),"")</f>
        <v/>
      </c>
      <c r="G67" s="214" t="str">
        <f ca="1">IFERROR(VLOOKUP(44,AO:AQ,3,FALSE),"")</f>
        <v/>
      </c>
      <c r="J67" s="215" t="str">
        <f ca="1">IFERROR(VLOOKUP(44,AR:AT,2,FALSE),"")</f>
        <v/>
      </c>
      <c r="K67" s="216" t="str">
        <f ca="1">IFERROR(VLOOKUP(44,AR:AT,3,FALSE),"")</f>
        <v/>
      </c>
      <c r="N67" s="217" t="str">
        <f ca="1">IFERROR(VLOOKUP(44,AU:AW,2,FALSE),"")</f>
        <v/>
      </c>
      <c r="O67" s="218" t="str">
        <f ca="1">IFERROR(VLOOKUP(44,AU:AW,3,FALSE),"")</f>
        <v/>
      </c>
      <c r="AL67" s="165" t="str">
        <f ca="1">IF(AM67="","",COUNT(AL$18:AL66)+1)</f>
        <v/>
      </c>
      <c r="AM67" s="165" t="str">
        <f ca="1">IF(Prioritering!K63&gt;=Forside!H$7,Prioritering!E63,"")</f>
        <v/>
      </c>
      <c r="AN67" s="165" t="str">
        <f ca="1">IF(AM67="","",Prioritering!G63)</f>
        <v/>
      </c>
      <c r="AO67" s="159" t="str">
        <f ca="1">IF(AP67="","",COUNT(AO$18:AO66)+1)</f>
        <v/>
      </c>
      <c r="AP67" s="172" t="str">
        <f ca="1">IF(Prioritering!K63&gt;=Forside!H$8,IF(Prioritering!K63&lt;H$7,Prioritering!E63,""),"")</f>
        <v/>
      </c>
      <c r="AQ67" s="159" t="str">
        <f ca="1">IF(AP67="","",Prioritering!G63)</f>
        <v/>
      </c>
      <c r="AR67" s="174" t="str">
        <f ca="1">IF(AS67="","",COUNT(AR$18:AR66)+1)</f>
        <v/>
      </c>
      <c r="AS67" s="174" t="str">
        <f ca="1">IF(Prioritering!K63&gt;=Forside!H$9,IF(Prioritering!K63&lt;H$8,Prioritering!E63,""),"")</f>
        <v/>
      </c>
      <c r="AT67" s="174" t="str">
        <f ca="1">IF(AS67="","",Prioritering!G63)</f>
        <v/>
      </c>
      <c r="AU67" s="177" t="str">
        <f ca="1">IF(AV67="","",COUNT(AU$18:AU66)+1)</f>
        <v/>
      </c>
      <c r="AV67" s="177" t="str">
        <f ca="1">IF(Prioritering!K63&lt;Forside!H$9,Prioritering!E63,"")</f>
        <v/>
      </c>
      <c r="AW67" s="177" t="str">
        <f ca="1">IF(AV67="","",Prioritering!G63)</f>
        <v/>
      </c>
    </row>
    <row r="68" spans="2:49" ht="15" customHeight="1" x14ac:dyDescent="0.25">
      <c r="B68" s="205" t="str">
        <f ca="1">IFERROR(VLOOKUP(45,AL:AN,2,FALSE),"")</f>
        <v/>
      </c>
      <c r="C68" s="206" t="str">
        <f ca="1">IFERROR(VLOOKUP(45,AL:AN,3,FALSE),"")</f>
        <v/>
      </c>
      <c r="F68" s="213" t="str">
        <f ca="1">IFERROR(VLOOKUP(45,AO:AQ,2,FALSE),"")</f>
        <v/>
      </c>
      <c r="G68" s="214" t="str">
        <f ca="1">IFERROR(VLOOKUP(45,AO:AQ,3,FALSE),"")</f>
        <v/>
      </c>
      <c r="J68" s="215" t="str">
        <f ca="1">IFERROR(VLOOKUP(45,AR:AT,2,FALSE),"")</f>
        <v/>
      </c>
      <c r="K68" s="216" t="str">
        <f ca="1">IFERROR(VLOOKUP(45,AR:AT,3,FALSE),"")</f>
        <v/>
      </c>
      <c r="N68" s="217" t="str">
        <f ca="1">IFERROR(VLOOKUP(45,AU:AW,2,FALSE),"")</f>
        <v/>
      </c>
      <c r="O68" s="218" t="str">
        <f ca="1">IFERROR(VLOOKUP(45,AU:AW,3,FALSE),"")</f>
        <v/>
      </c>
      <c r="AL68" s="165" t="str">
        <f ca="1">IF(AM68="","",COUNT(AL$18:AL67)+1)</f>
        <v/>
      </c>
      <c r="AM68" s="165" t="str">
        <f ca="1">IF(Prioritering!K64&gt;=Forside!H$7,Prioritering!E64,"")</f>
        <v/>
      </c>
      <c r="AN68" s="165" t="str">
        <f ca="1">IF(AM68="","",Prioritering!G64)</f>
        <v/>
      </c>
      <c r="AO68" s="159" t="str">
        <f ca="1">IF(AP68="","",COUNT(AO$18:AO67)+1)</f>
        <v/>
      </c>
      <c r="AP68" s="172" t="str">
        <f ca="1">IF(Prioritering!K64&gt;=Forside!H$8,IF(Prioritering!K64&lt;H$7,Prioritering!E64,""),"")</f>
        <v/>
      </c>
      <c r="AQ68" s="159" t="str">
        <f ca="1">IF(AP68="","",Prioritering!G64)</f>
        <v/>
      </c>
      <c r="AR68" s="174" t="str">
        <f ca="1">IF(AS68="","",COUNT(AR$18:AR67)+1)</f>
        <v/>
      </c>
      <c r="AS68" s="174" t="str">
        <f ca="1">IF(Prioritering!K64&gt;=Forside!H$9,IF(Prioritering!K64&lt;H$8,Prioritering!E64,""),"")</f>
        <v/>
      </c>
      <c r="AT68" s="174" t="str">
        <f ca="1">IF(AS68="","",Prioritering!G64)</f>
        <v/>
      </c>
      <c r="AU68" s="177" t="str">
        <f ca="1">IF(AV68="","",COUNT(AU$18:AU67)+1)</f>
        <v/>
      </c>
      <c r="AV68" s="177" t="str">
        <f ca="1">IF(Prioritering!K64&lt;Forside!H$9,Prioritering!E64,"")</f>
        <v/>
      </c>
      <c r="AW68" s="177" t="str">
        <f ca="1">IF(AV68="","",Prioritering!G64)</f>
        <v/>
      </c>
    </row>
    <row r="69" spans="2:49" ht="15" customHeight="1" x14ac:dyDescent="0.25">
      <c r="B69" s="205" t="str">
        <f ca="1">IFERROR(VLOOKUP(46,AL:AN,2,FALSE),"")</f>
        <v/>
      </c>
      <c r="C69" s="206" t="str">
        <f ca="1">IFERROR(VLOOKUP(46,AL:AN,3,FALSE),"")</f>
        <v/>
      </c>
      <c r="F69" s="213" t="str">
        <f ca="1">IFERROR(VLOOKUP(46,AO:AQ,2,FALSE),"")</f>
        <v/>
      </c>
      <c r="G69" s="214" t="str">
        <f ca="1">IFERROR(VLOOKUP(46,AO:AQ,3,FALSE),"")</f>
        <v/>
      </c>
      <c r="J69" s="215" t="str">
        <f ca="1">IFERROR(VLOOKUP(46,AR:AT,2,FALSE),"")</f>
        <v/>
      </c>
      <c r="K69" s="216" t="str">
        <f ca="1">IFERROR(VLOOKUP(46,AR:AT,3,FALSE),"")</f>
        <v/>
      </c>
      <c r="N69" s="217" t="str">
        <f ca="1">IFERROR(VLOOKUP(46,AU:AW,2,FALSE),"")</f>
        <v/>
      </c>
      <c r="O69" s="218" t="str">
        <f ca="1">IFERROR(VLOOKUP(46,AU:AW,3,FALSE),"")</f>
        <v/>
      </c>
      <c r="AL69" s="165" t="str">
        <f ca="1">IF(AM69="","",COUNT(AL$18:AL68)+1)</f>
        <v/>
      </c>
      <c r="AM69" s="165" t="str">
        <f ca="1">IF(Prioritering!K65&gt;=Forside!H$7,Prioritering!E65,"")</f>
        <v/>
      </c>
      <c r="AN69" s="165" t="str">
        <f ca="1">IF(AM69="","",Prioritering!G65)</f>
        <v/>
      </c>
      <c r="AO69" s="159" t="str">
        <f ca="1">IF(AP69="","",COUNT(AO$18:AO68)+1)</f>
        <v/>
      </c>
      <c r="AP69" s="172" t="str">
        <f ca="1">IF(Prioritering!K65&gt;=Forside!H$8,IF(Prioritering!K65&lt;H$7,Prioritering!E65,""),"")</f>
        <v/>
      </c>
      <c r="AQ69" s="159" t="str">
        <f ca="1">IF(AP69="","",Prioritering!G65)</f>
        <v/>
      </c>
      <c r="AR69" s="174" t="str">
        <f ca="1">IF(AS69="","",COUNT(AR$18:AR68)+1)</f>
        <v/>
      </c>
      <c r="AS69" s="174" t="str">
        <f ca="1">IF(Prioritering!K65&gt;=Forside!H$9,IF(Prioritering!K65&lt;H$8,Prioritering!E65,""),"")</f>
        <v/>
      </c>
      <c r="AT69" s="174" t="str">
        <f ca="1">IF(AS69="","",Prioritering!G65)</f>
        <v/>
      </c>
      <c r="AU69" s="177" t="str">
        <f ca="1">IF(AV69="","",COUNT(AU$18:AU68)+1)</f>
        <v/>
      </c>
      <c r="AV69" s="177" t="str">
        <f ca="1">IF(Prioritering!K65&lt;Forside!H$9,Prioritering!E65,"")</f>
        <v/>
      </c>
      <c r="AW69" s="177" t="str">
        <f ca="1">IF(AV69="","",Prioritering!G65)</f>
        <v/>
      </c>
    </row>
    <row r="70" spans="2:49" ht="15" customHeight="1" x14ac:dyDescent="0.25">
      <c r="B70" s="205" t="str">
        <f ca="1">IFERROR(VLOOKUP(47,AL:AN,2,FALSE),"")</f>
        <v/>
      </c>
      <c r="C70" s="206" t="str">
        <f ca="1">IFERROR(VLOOKUP(47,AL:AN,3,FALSE),"")</f>
        <v/>
      </c>
      <c r="F70" s="213" t="str">
        <f ca="1">IFERROR(VLOOKUP(47,AO:AQ,2,FALSE),"")</f>
        <v/>
      </c>
      <c r="G70" s="214" t="str">
        <f ca="1">IFERROR(VLOOKUP(47,AO:AQ,3,FALSE),"")</f>
        <v/>
      </c>
      <c r="J70" s="215" t="str">
        <f ca="1">IFERROR(VLOOKUP(47,AR:AT,2,FALSE),"")</f>
        <v/>
      </c>
      <c r="K70" s="216" t="str">
        <f ca="1">IFERROR(VLOOKUP(47,AR:AT,3,FALSE),"")</f>
        <v/>
      </c>
      <c r="N70" s="217" t="str">
        <f ca="1">IFERROR(VLOOKUP(47,AU:AW,2,FALSE),"")</f>
        <v/>
      </c>
      <c r="O70" s="218" t="str">
        <f ca="1">IFERROR(VLOOKUP(47,AU:AW,3,FALSE),"")</f>
        <v/>
      </c>
      <c r="AL70" s="165" t="str">
        <f ca="1">IF(AM70="","",COUNT(AL$18:AL69)+1)</f>
        <v/>
      </c>
      <c r="AM70" s="165" t="str">
        <f ca="1">IF(Prioritering!K66&gt;=Forside!H$7,Prioritering!E66,"")</f>
        <v/>
      </c>
      <c r="AN70" s="165" t="str">
        <f ca="1">IF(AM70="","",Prioritering!G66)</f>
        <v/>
      </c>
      <c r="AO70" s="159" t="str">
        <f ca="1">IF(AP70="","",COUNT(AO$18:AO69)+1)</f>
        <v/>
      </c>
      <c r="AP70" s="172" t="str">
        <f ca="1">IF(Prioritering!K66&gt;=Forside!H$8,IF(Prioritering!K66&lt;H$7,Prioritering!E66,""),"")</f>
        <v/>
      </c>
      <c r="AQ70" s="159" t="str">
        <f ca="1">IF(AP70="","",Prioritering!G66)</f>
        <v/>
      </c>
      <c r="AR70" s="174" t="str">
        <f ca="1">IF(AS70="","",COUNT(AR$18:AR69)+1)</f>
        <v/>
      </c>
      <c r="AS70" s="174" t="str">
        <f ca="1">IF(Prioritering!K66&gt;=Forside!H$9,IF(Prioritering!K66&lt;H$8,Prioritering!E66,""),"")</f>
        <v/>
      </c>
      <c r="AT70" s="174" t="str">
        <f ca="1">IF(AS70="","",Prioritering!G66)</f>
        <v/>
      </c>
      <c r="AU70" s="177" t="str">
        <f ca="1">IF(AV70="","",COUNT(AU$18:AU69)+1)</f>
        <v/>
      </c>
      <c r="AV70" s="177" t="str">
        <f ca="1">IF(Prioritering!K66&lt;Forside!H$9,Prioritering!E66,"")</f>
        <v/>
      </c>
      <c r="AW70" s="177" t="str">
        <f ca="1">IF(AV70="","",Prioritering!G66)</f>
        <v/>
      </c>
    </row>
    <row r="71" spans="2:49" ht="15" customHeight="1" x14ac:dyDescent="0.25">
      <c r="B71" s="205" t="str">
        <f ca="1">IFERROR(VLOOKUP(48,AL:AN,2,FALSE),"")</f>
        <v/>
      </c>
      <c r="C71" s="206" t="str">
        <f ca="1">IFERROR(VLOOKUP(48,AL:AN,3,FALSE),"")</f>
        <v/>
      </c>
      <c r="F71" s="213" t="str">
        <f ca="1">IFERROR(VLOOKUP(48,AO:AQ,2,FALSE),"")</f>
        <v/>
      </c>
      <c r="G71" s="214" t="str">
        <f ca="1">IFERROR(VLOOKUP(48,AO:AQ,3,FALSE),"")</f>
        <v/>
      </c>
      <c r="J71" s="215" t="str">
        <f ca="1">IFERROR(VLOOKUP(48,AR:AT,2,FALSE),"")</f>
        <v/>
      </c>
      <c r="K71" s="216" t="str">
        <f ca="1">IFERROR(VLOOKUP(48,AR:AT,3,FALSE),"")</f>
        <v/>
      </c>
      <c r="N71" s="217" t="str">
        <f ca="1">IFERROR(VLOOKUP(48,AU:AW,2,FALSE),"")</f>
        <v/>
      </c>
      <c r="O71" s="218" t="str">
        <f ca="1">IFERROR(VLOOKUP(48,AU:AW,3,FALSE),"")</f>
        <v/>
      </c>
      <c r="AL71" s="165" t="str">
        <f ca="1">IF(AM71="","",COUNT(AL$18:AL70)+1)</f>
        <v/>
      </c>
      <c r="AM71" s="165" t="str">
        <f ca="1">IF(Prioritering!K67&gt;=Forside!H$7,Prioritering!E67,"")</f>
        <v/>
      </c>
      <c r="AN71" s="165" t="str">
        <f ca="1">IF(AM71="","",Prioritering!G67)</f>
        <v/>
      </c>
      <c r="AO71" s="159" t="str">
        <f ca="1">IF(AP71="","",COUNT(AO$18:AO70)+1)</f>
        <v/>
      </c>
      <c r="AP71" s="172" t="str">
        <f ca="1">IF(Prioritering!K67&gt;=Forside!H$8,IF(Prioritering!K67&lt;H$7,Prioritering!E67,""),"")</f>
        <v/>
      </c>
      <c r="AQ71" s="159" t="str">
        <f ca="1">IF(AP71="","",Prioritering!G67)</f>
        <v/>
      </c>
      <c r="AR71" s="174" t="str">
        <f ca="1">IF(AS71="","",COUNT(AR$18:AR70)+1)</f>
        <v/>
      </c>
      <c r="AS71" s="174" t="str">
        <f ca="1">IF(Prioritering!K67&gt;=Forside!H$9,IF(Prioritering!K67&lt;H$8,Prioritering!E67,""),"")</f>
        <v/>
      </c>
      <c r="AT71" s="174" t="str">
        <f ca="1">IF(AS71="","",Prioritering!G67)</f>
        <v/>
      </c>
      <c r="AU71" s="177" t="str">
        <f ca="1">IF(AV71="","",COUNT(AU$18:AU70)+1)</f>
        <v/>
      </c>
      <c r="AV71" s="177" t="str">
        <f ca="1">IF(Prioritering!K67&lt;Forside!H$9,Prioritering!E67,"")</f>
        <v/>
      </c>
      <c r="AW71" s="177" t="str">
        <f ca="1">IF(AV71="","",Prioritering!G67)</f>
        <v/>
      </c>
    </row>
    <row r="72" spans="2:49" ht="15" customHeight="1" x14ac:dyDescent="0.25">
      <c r="B72" s="227" t="str">
        <f ca="1">IFERROR(VLOOKUP(49,AL:AN,2,FALSE),"")</f>
        <v/>
      </c>
      <c r="C72" s="228" t="str">
        <f ca="1">IFERROR(VLOOKUP(49,AL:AN,3,FALSE),"")</f>
        <v/>
      </c>
      <c r="F72" s="229" t="str">
        <f ca="1">IFERROR(VLOOKUP(49,AO:AQ,2,FALSE),"")</f>
        <v/>
      </c>
      <c r="G72" s="230" t="str">
        <f ca="1">IFERROR(VLOOKUP(49,AO:AQ,3,FALSE),"")</f>
        <v/>
      </c>
      <c r="J72" s="231" t="str">
        <f ca="1">IFERROR(VLOOKUP(49,AR:AT,2,FALSE),"")</f>
        <v/>
      </c>
      <c r="K72" s="232" t="str">
        <f ca="1">IFERROR(VLOOKUP(49,AR:AT,3,FALSE),"")</f>
        <v/>
      </c>
      <c r="N72" s="233" t="str">
        <f ca="1">IFERROR(VLOOKUP(49,AU:AW,2,FALSE),"")</f>
        <v/>
      </c>
      <c r="O72" s="234" t="str">
        <f ca="1">IFERROR(VLOOKUP(49,AU:AW,3,FALSE),"")</f>
        <v/>
      </c>
      <c r="AL72" s="165" t="str">
        <f ca="1">IF(AM72="","",COUNT(AL$18:AL71)+1)</f>
        <v/>
      </c>
      <c r="AM72" s="165" t="str">
        <f ca="1">IF(Prioritering!K68&gt;=Forside!H$7,Prioritering!E68,"")</f>
        <v/>
      </c>
      <c r="AN72" s="165" t="str">
        <f ca="1">IF(AM72="","",Prioritering!G68)</f>
        <v/>
      </c>
      <c r="AO72" s="159" t="str">
        <f ca="1">IF(AP72="","",COUNT(AO$18:AO71)+1)</f>
        <v/>
      </c>
      <c r="AP72" s="172" t="str">
        <f ca="1">IF(Prioritering!K68&gt;=Forside!H$8,IF(Prioritering!K68&lt;H$7,Prioritering!E68,""),"")</f>
        <v/>
      </c>
      <c r="AQ72" s="159" t="str">
        <f ca="1">IF(AP72="","",Prioritering!G68)</f>
        <v/>
      </c>
      <c r="AR72" s="174" t="str">
        <f ca="1">IF(AS72="","",COUNT(AR$18:AR71)+1)</f>
        <v/>
      </c>
      <c r="AS72" s="174" t="str">
        <f ca="1">IF(Prioritering!K68&gt;=Forside!H$9,IF(Prioritering!K68&lt;H$8,Prioritering!E68,""),"")</f>
        <v/>
      </c>
      <c r="AT72" s="174" t="str">
        <f ca="1">IF(AS72="","",Prioritering!G68)</f>
        <v/>
      </c>
      <c r="AU72" s="177" t="str">
        <f ca="1">IF(AV72="","",COUNT(AU$18:AU71)+1)</f>
        <v/>
      </c>
      <c r="AV72" s="177" t="str">
        <f ca="1">IF(Prioritering!K68&lt;Forside!H$9,Prioritering!E68,"")</f>
        <v/>
      </c>
      <c r="AW72" s="177" t="str">
        <f ca="1">IF(AV72="","",Prioritering!G68)</f>
        <v/>
      </c>
    </row>
    <row r="73" spans="2:49" ht="15" customHeight="1" x14ac:dyDescent="0.25">
      <c r="K73" s="15"/>
      <c r="AL73" s="165" t="str">
        <f ca="1">IF(AM73="","",COUNT(AL$18:AL72)+1)</f>
        <v/>
      </c>
      <c r="AM73" s="165" t="str">
        <f ca="1">IF(Prioritering!K69&gt;=Forside!H$7,Prioritering!E69,"")</f>
        <v/>
      </c>
      <c r="AN73" s="165" t="str">
        <f ca="1">IF(AM73="","",Prioritering!G69)</f>
        <v/>
      </c>
      <c r="AO73" s="159" t="str">
        <f ca="1">IF(AP73="","",COUNT(AO$18:AO72)+1)</f>
        <v/>
      </c>
      <c r="AP73" s="172" t="str">
        <f ca="1">IF(Prioritering!K69&gt;=Forside!H$8,IF(Prioritering!K69&lt;H$7,Prioritering!E69,""),"")</f>
        <v/>
      </c>
      <c r="AQ73" s="159" t="str">
        <f ca="1">IF(AP73="","",Prioritering!G69)</f>
        <v/>
      </c>
      <c r="AR73" s="174" t="str">
        <f ca="1">IF(AS73="","",COUNT(AR$18:AR72)+1)</f>
        <v/>
      </c>
      <c r="AS73" s="174" t="str">
        <f ca="1">IF(Prioritering!K69&gt;=Forside!H$9,IF(Prioritering!K69&lt;H$8,Prioritering!E69,""),"")</f>
        <v/>
      </c>
      <c r="AT73" s="174" t="str">
        <f ca="1">IF(AS73="","",Prioritering!G69)</f>
        <v/>
      </c>
      <c r="AU73" s="177" t="str">
        <f ca="1">IF(AV73="","",COUNT(AU$18:AU72)+1)</f>
        <v/>
      </c>
      <c r="AV73" s="177" t="str">
        <f ca="1">IF(Prioritering!K69&lt;Forside!H$9,Prioritering!E69,"")</f>
        <v/>
      </c>
      <c r="AW73" s="177" t="str">
        <f ca="1">IF(AV73="","",Prioritering!G69)</f>
        <v/>
      </c>
    </row>
    <row r="74" spans="2:49" ht="15" customHeight="1" x14ac:dyDescent="0.25">
      <c r="K74" s="15"/>
      <c r="AL74" s="165" t="str">
        <f ca="1">IF(AM74="","",COUNT(AL$18:AL73)+1)</f>
        <v/>
      </c>
      <c r="AM74" s="165" t="str">
        <f ca="1">IF(Prioritering!K70&gt;=Forside!H$7,Prioritering!E70,"")</f>
        <v/>
      </c>
      <c r="AN74" s="165" t="str">
        <f ca="1">IF(AM74="","",Prioritering!G70)</f>
        <v/>
      </c>
      <c r="AO74" s="159" t="str">
        <f ca="1">IF(AP74="","",COUNT(AO$18:AO73)+1)</f>
        <v/>
      </c>
      <c r="AP74" s="172" t="str">
        <f ca="1">IF(Prioritering!K70&gt;=Forside!H$8,IF(Prioritering!K70&lt;H$7,Prioritering!E70,""),"")</f>
        <v/>
      </c>
      <c r="AQ74" s="159" t="str">
        <f ca="1">IF(AP74="","",Prioritering!G70)</f>
        <v/>
      </c>
      <c r="AR74" s="174" t="str">
        <f ca="1">IF(AS74="","",COUNT(AR$18:AR73)+1)</f>
        <v/>
      </c>
      <c r="AS74" s="174" t="str">
        <f ca="1">IF(Prioritering!K70&gt;=Forside!H$9,IF(Prioritering!K70&lt;H$8,Prioritering!E70,""),"")</f>
        <v/>
      </c>
      <c r="AT74" s="174" t="str">
        <f ca="1">IF(AS74="","",Prioritering!G70)</f>
        <v/>
      </c>
      <c r="AU74" s="177" t="str">
        <f ca="1">IF(AV74="","",COUNT(AU$18:AU73)+1)</f>
        <v/>
      </c>
      <c r="AV74" s="177" t="str">
        <f ca="1">IF(Prioritering!K70&lt;Forside!H$9,Prioritering!E70,"")</f>
        <v/>
      </c>
      <c r="AW74" s="177" t="str">
        <f ca="1">IF(AV74="","",Prioritering!G70)</f>
        <v/>
      </c>
    </row>
    <row r="75" spans="2:49" ht="15" customHeight="1" x14ac:dyDescent="0.25">
      <c r="K75" s="15"/>
      <c r="AL75" s="165" t="str">
        <f ca="1">IF(AM75="","",COUNT(AL$18:AL74)+1)</f>
        <v/>
      </c>
      <c r="AM75" s="165" t="str">
        <f ca="1">IF(Prioritering!K71&gt;=Forside!H$7,Prioritering!E71,"")</f>
        <v/>
      </c>
      <c r="AN75" s="165" t="str">
        <f ca="1">IF(AM75="","",Prioritering!G71)</f>
        <v/>
      </c>
      <c r="AO75" s="159" t="str">
        <f ca="1">IF(AP75="","",COUNT(AO$18:AO74)+1)</f>
        <v/>
      </c>
      <c r="AP75" s="172" t="str">
        <f ca="1">IF(Prioritering!K71&gt;=Forside!H$8,IF(Prioritering!K71&lt;H$7,Prioritering!E71,""),"")</f>
        <v/>
      </c>
      <c r="AQ75" s="159" t="str">
        <f ca="1">IF(AP75="","",Prioritering!G71)</f>
        <v/>
      </c>
      <c r="AR75" s="174" t="str">
        <f ca="1">IF(AS75="","",COUNT(AR$18:AR74)+1)</f>
        <v/>
      </c>
      <c r="AS75" s="174" t="str">
        <f ca="1">IF(Prioritering!K71&gt;=Forside!H$9,IF(Prioritering!K71&lt;H$8,Prioritering!E71,""),"")</f>
        <v/>
      </c>
      <c r="AT75" s="174" t="str">
        <f ca="1">IF(AS75="","",Prioritering!G71)</f>
        <v/>
      </c>
      <c r="AU75" s="177" t="str">
        <f ca="1">IF(AV75="","",COUNT(AU$18:AU74)+1)</f>
        <v/>
      </c>
      <c r="AV75" s="177" t="str">
        <f ca="1">IF(Prioritering!K71&lt;Forside!H$9,Prioritering!E71,"")</f>
        <v/>
      </c>
      <c r="AW75" s="177" t="str">
        <f ca="1">IF(AV75="","",Prioritering!G71)</f>
        <v/>
      </c>
    </row>
    <row r="76" spans="2:49" ht="15" customHeight="1" x14ac:dyDescent="0.25">
      <c r="K76" s="15"/>
      <c r="AL76" s="165" t="str">
        <f ca="1">IF(AM76="","",COUNT(AL$18:AL75)+1)</f>
        <v/>
      </c>
      <c r="AM76" s="165" t="str">
        <f ca="1">IF(Prioritering!K72&gt;=Forside!H$7,Prioritering!E72,"")</f>
        <v/>
      </c>
      <c r="AN76" s="165" t="str">
        <f ca="1">IF(AM76="","",Prioritering!G72)</f>
        <v/>
      </c>
      <c r="AO76" s="159" t="str">
        <f ca="1">IF(AP76="","",COUNT(AO$18:AO75)+1)</f>
        <v/>
      </c>
      <c r="AP76" s="172" t="str">
        <f ca="1">IF(Prioritering!K72&gt;=Forside!H$8,IF(Prioritering!K72&lt;H$7,Prioritering!E72,""),"")</f>
        <v/>
      </c>
      <c r="AQ76" s="159" t="str">
        <f ca="1">IF(AP76="","",Prioritering!G72)</f>
        <v/>
      </c>
      <c r="AR76" s="174" t="str">
        <f ca="1">IF(AS76="","",COUNT(AR$18:AR75)+1)</f>
        <v/>
      </c>
      <c r="AS76" s="174" t="str">
        <f ca="1">IF(Prioritering!K72&gt;=Forside!H$9,IF(Prioritering!K72&lt;H$8,Prioritering!E72,""),"")</f>
        <v/>
      </c>
      <c r="AT76" s="174" t="str">
        <f ca="1">IF(AS76="","",Prioritering!G72)</f>
        <v/>
      </c>
      <c r="AU76" s="177" t="str">
        <f ca="1">IF(AV76="","",COUNT(AU$18:AU75)+1)</f>
        <v/>
      </c>
      <c r="AV76" s="177" t="str">
        <f ca="1">IF(Prioritering!K72&lt;Forside!H$9,Prioritering!E72,"")</f>
        <v/>
      </c>
      <c r="AW76" s="177" t="str">
        <f ca="1">IF(AV76="","",Prioritering!G72)</f>
        <v/>
      </c>
    </row>
    <row r="77" spans="2:49" ht="15" customHeight="1" x14ac:dyDescent="0.25">
      <c r="K77" s="15"/>
      <c r="AL77" s="165" t="str">
        <f ca="1">IF(AM77="","",COUNT(AL$18:AL76)+1)</f>
        <v/>
      </c>
      <c r="AM77" s="165" t="str">
        <f ca="1">IF(Prioritering!K73&gt;=Forside!H$7,Prioritering!E73,"")</f>
        <v/>
      </c>
      <c r="AN77" s="165" t="str">
        <f ca="1">IF(AM77="","",Prioritering!G73)</f>
        <v/>
      </c>
      <c r="AO77" s="159" t="str">
        <f ca="1">IF(AP77="","",COUNT(AO$18:AO76)+1)</f>
        <v/>
      </c>
      <c r="AP77" s="172" t="str">
        <f ca="1">IF(Prioritering!K73&gt;=Forside!H$8,IF(Prioritering!K73&lt;H$7,Prioritering!E73,""),"")</f>
        <v/>
      </c>
      <c r="AQ77" s="159" t="str">
        <f ca="1">IF(AP77="","",Prioritering!G73)</f>
        <v/>
      </c>
      <c r="AR77" s="174" t="str">
        <f ca="1">IF(AS77="","",COUNT(AR$18:AR76)+1)</f>
        <v/>
      </c>
      <c r="AS77" s="174" t="str">
        <f ca="1">IF(Prioritering!K73&gt;=Forside!H$9,IF(Prioritering!K73&lt;H$8,Prioritering!E73,""),"")</f>
        <v/>
      </c>
      <c r="AT77" s="174" t="str">
        <f ca="1">IF(AS77="","",Prioritering!G73)</f>
        <v/>
      </c>
      <c r="AU77" s="177" t="str">
        <f ca="1">IF(AV77="","",COUNT(AU$18:AU76)+1)</f>
        <v/>
      </c>
      <c r="AV77" s="177" t="str">
        <f ca="1">IF(Prioritering!K73&lt;Forside!H$9,Prioritering!E73,"")</f>
        <v/>
      </c>
      <c r="AW77" s="177" t="str">
        <f ca="1">IF(AV77="","",Prioritering!G73)</f>
        <v/>
      </c>
    </row>
    <row r="78" spans="2:49" ht="15" customHeight="1" x14ac:dyDescent="0.25">
      <c r="K78" s="15"/>
      <c r="AL78" s="165" t="str">
        <f ca="1">IF(AM78="","",COUNT(AL$18:AL77)+1)</f>
        <v/>
      </c>
      <c r="AM78" s="165" t="str">
        <f ca="1">IF(Prioritering!K74&gt;=Forside!H$7,Prioritering!E74,"")</f>
        <v/>
      </c>
      <c r="AN78" s="165" t="str">
        <f ca="1">IF(AM78="","",Prioritering!G74)</f>
        <v/>
      </c>
      <c r="AO78" s="159" t="str">
        <f ca="1">IF(AP78="","",COUNT(AO$18:AO77)+1)</f>
        <v/>
      </c>
      <c r="AP78" s="172" t="str">
        <f ca="1">IF(Prioritering!K74&gt;=Forside!H$8,IF(Prioritering!K74&lt;H$7,Prioritering!E74,""),"")</f>
        <v/>
      </c>
      <c r="AQ78" s="159" t="str">
        <f ca="1">IF(AP78="","",Prioritering!G74)</f>
        <v/>
      </c>
      <c r="AR78" s="174" t="str">
        <f ca="1">IF(AS78="","",COUNT(AR$18:AR77)+1)</f>
        <v/>
      </c>
      <c r="AS78" s="174" t="str">
        <f ca="1">IF(Prioritering!K74&gt;=Forside!H$9,IF(Prioritering!K74&lt;H$8,Prioritering!E74,""),"")</f>
        <v/>
      </c>
      <c r="AT78" s="174" t="str">
        <f ca="1">IF(AS78="","",Prioritering!G74)</f>
        <v/>
      </c>
      <c r="AU78" s="177" t="str">
        <f ca="1">IF(AV78="","",COUNT(AU$18:AU77)+1)</f>
        <v/>
      </c>
      <c r="AV78" s="177" t="str">
        <f ca="1">IF(Prioritering!K74&lt;Forside!H$9,Prioritering!E74,"")</f>
        <v/>
      </c>
      <c r="AW78" s="177" t="str">
        <f ca="1">IF(AV78="","",Prioritering!G74)</f>
        <v/>
      </c>
    </row>
    <row r="79" spans="2:49" ht="15" customHeight="1" x14ac:dyDescent="0.25">
      <c r="K79" s="15"/>
      <c r="AL79" s="165" t="str">
        <f ca="1">IF(AM79="","",COUNT(AL$18:AL78)+1)</f>
        <v/>
      </c>
      <c r="AM79" s="165" t="str">
        <f ca="1">IF(Prioritering!K75&gt;=Forside!H$7,Prioritering!E75,"")</f>
        <v/>
      </c>
      <c r="AN79" s="165" t="str">
        <f ca="1">IF(AM79="","",Prioritering!G75)</f>
        <v/>
      </c>
      <c r="AO79" s="159" t="str">
        <f ca="1">IF(AP79="","",COUNT(AO$18:AO78)+1)</f>
        <v/>
      </c>
      <c r="AP79" s="172" t="str">
        <f ca="1">IF(Prioritering!K75&gt;=Forside!H$8,IF(Prioritering!K75&lt;H$7,Prioritering!E75,""),"")</f>
        <v/>
      </c>
      <c r="AQ79" s="159" t="str">
        <f ca="1">IF(AP79="","",Prioritering!G75)</f>
        <v/>
      </c>
      <c r="AR79" s="174" t="str">
        <f ca="1">IF(AS79="","",COUNT(AR$18:AR78)+1)</f>
        <v/>
      </c>
      <c r="AS79" s="174" t="str">
        <f ca="1">IF(Prioritering!K75&gt;=Forside!H$9,IF(Prioritering!K75&lt;H$8,Prioritering!E75,""),"")</f>
        <v/>
      </c>
      <c r="AT79" s="174" t="str">
        <f ca="1">IF(AS79="","",Prioritering!G75)</f>
        <v/>
      </c>
      <c r="AU79" s="177" t="str">
        <f ca="1">IF(AV79="","",COUNT(AU$18:AU78)+1)</f>
        <v/>
      </c>
      <c r="AV79" s="177" t="str">
        <f ca="1">IF(Prioritering!K75&lt;Forside!H$9,Prioritering!E75,"")</f>
        <v/>
      </c>
      <c r="AW79" s="177" t="str">
        <f ca="1">IF(AV79="","",Prioritering!G75)</f>
        <v/>
      </c>
    </row>
    <row r="80" spans="2:49" ht="15" customHeight="1" x14ac:dyDescent="0.25">
      <c r="K80" s="15"/>
      <c r="AL80" s="165" t="str">
        <f ca="1">IF(AM80="","",COUNT(AL$18:AL79)+1)</f>
        <v/>
      </c>
      <c r="AM80" s="165" t="str">
        <f ca="1">IF(Prioritering!K76&gt;=Forside!H$7,Prioritering!E76,"")</f>
        <v/>
      </c>
      <c r="AN80" s="165" t="str">
        <f ca="1">IF(AM80="","",Prioritering!G76)</f>
        <v/>
      </c>
      <c r="AO80" s="159" t="str">
        <f ca="1">IF(AP80="","",COUNT(AO$18:AO79)+1)</f>
        <v/>
      </c>
      <c r="AP80" s="172" t="str">
        <f ca="1">IF(Prioritering!K76&gt;=Forside!H$8,IF(Prioritering!K76&lt;H$7,Prioritering!E76,""),"")</f>
        <v/>
      </c>
      <c r="AQ80" s="159" t="str">
        <f ca="1">IF(AP80="","",Prioritering!G76)</f>
        <v/>
      </c>
      <c r="AR80" s="174" t="str">
        <f ca="1">IF(AS80="","",COUNT(AR$18:AR79)+1)</f>
        <v/>
      </c>
      <c r="AS80" s="174" t="str">
        <f ca="1">IF(Prioritering!K76&gt;=Forside!H$9,IF(Prioritering!K76&lt;H$8,Prioritering!E76,""),"")</f>
        <v/>
      </c>
      <c r="AT80" s="174" t="str">
        <f ca="1">IF(AS80="","",Prioritering!G76)</f>
        <v/>
      </c>
      <c r="AU80" s="177" t="str">
        <f ca="1">IF(AV80="","",COUNT(AU$18:AU79)+1)</f>
        <v/>
      </c>
      <c r="AV80" s="177" t="str">
        <f ca="1">IF(Prioritering!K76&lt;Forside!H$9,Prioritering!E76,"")</f>
        <v/>
      </c>
      <c r="AW80" s="177" t="str">
        <f ca="1">IF(AV80="","",Prioritering!G76)</f>
        <v/>
      </c>
    </row>
    <row r="81" spans="11:49" ht="15" customHeight="1" x14ac:dyDescent="0.25">
      <c r="K81" s="15"/>
      <c r="AL81" s="165" t="str">
        <f ca="1">IF(AM81="","",COUNT(AL$18:AL80)+1)</f>
        <v/>
      </c>
      <c r="AM81" s="165" t="str">
        <f ca="1">IF(Prioritering!K77&gt;=Forside!H$7,Prioritering!E77,"")</f>
        <v/>
      </c>
      <c r="AN81" s="165" t="str">
        <f ca="1">IF(AM81="","",Prioritering!G77)</f>
        <v/>
      </c>
      <c r="AO81" s="159" t="str">
        <f ca="1">IF(AP81="","",COUNT(AO$18:AO80)+1)</f>
        <v/>
      </c>
      <c r="AP81" s="172" t="str">
        <f ca="1">IF(Prioritering!K77&gt;=Forside!H$8,IF(Prioritering!K77&lt;H$7,Prioritering!E77,""),"")</f>
        <v/>
      </c>
      <c r="AQ81" s="159" t="str">
        <f ca="1">IF(AP81="","",Prioritering!G77)</f>
        <v/>
      </c>
      <c r="AR81" s="174" t="str">
        <f ca="1">IF(AS81="","",COUNT(AR$18:AR80)+1)</f>
        <v/>
      </c>
      <c r="AS81" s="174" t="str">
        <f ca="1">IF(Prioritering!K77&gt;=Forside!H$9,IF(Prioritering!K77&lt;H$8,Prioritering!E77,""),"")</f>
        <v/>
      </c>
      <c r="AT81" s="174" t="str">
        <f ca="1">IF(AS81="","",Prioritering!G77)</f>
        <v/>
      </c>
      <c r="AU81" s="177" t="str">
        <f ca="1">IF(AV81="","",COUNT(AU$18:AU80)+1)</f>
        <v/>
      </c>
      <c r="AV81" s="177" t="str">
        <f ca="1">IF(Prioritering!K77&lt;Forside!H$9,Prioritering!E77,"")</f>
        <v/>
      </c>
      <c r="AW81" s="177" t="str">
        <f ca="1">IF(AV81="","",Prioritering!G77)</f>
        <v/>
      </c>
    </row>
    <row r="82" spans="11:49" ht="15" customHeight="1" x14ac:dyDescent="0.25">
      <c r="K82" s="15"/>
      <c r="AL82" s="165" t="str">
        <f ca="1">IF(AM82="","",COUNT(AL$18:AL81)+1)</f>
        <v/>
      </c>
      <c r="AM82" s="165" t="str">
        <f ca="1">IF(Prioritering!K78&gt;=Forside!H$7,Prioritering!E78,"")</f>
        <v/>
      </c>
      <c r="AN82" s="165" t="str">
        <f ca="1">IF(AM82="","",Prioritering!G78)</f>
        <v/>
      </c>
      <c r="AO82" s="159" t="str">
        <f ca="1">IF(AP82="","",COUNT(AO$18:AO81)+1)</f>
        <v/>
      </c>
      <c r="AP82" s="172" t="str">
        <f ca="1">IF(Prioritering!K78&gt;=Forside!H$8,IF(Prioritering!K78&lt;H$7,Prioritering!E78,""),"")</f>
        <v/>
      </c>
      <c r="AQ82" s="159" t="str">
        <f ca="1">IF(AP82="","",Prioritering!G78)</f>
        <v/>
      </c>
      <c r="AR82" s="174" t="str">
        <f ca="1">IF(AS82="","",COUNT(AR$18:AR81)+1)</f>
        <v/>
      </c>
      <c r="AS82" s="174" t="str">
        <f ca="1">IF(Prioritering!K78&gt;=Forside!H$9,IF(Prioritering!K78&lt;H$8,Prioritering!E78,""),"")</f>
        <v/>
      </c>
      <c r="AT82" s="174" t="str">
        <f ca="1">IF(AS82="","",Prioritering!G78)</f>
        <v/>
      </c>
      <c r="AU82" s="177" t="str">
        <f ca="1">IF(AV82="","",COUNT(AU$18:AU81)+1)</f>
        <v/>
      </c>
      <c r="AV82" s="177" t="str">
        <f ca="1">IF(Prioritering!K78&lt;Forside!H$9,Prioritering!E78,"")</f>
        <v/>
      </c>
      <c r="AW82" s="177" t="str">
        <f ca="1">IF(AV82="","",Prioritering!G78)</f>
        <v/>
      </c>
    </row>
    <row r="83" spans="11:49" ht="15" customHeight="1" x14ac:dyDescent="0.25">
      <c r="K83" s="15"/>
      <c r="AL83" s="165" t="str">
        <f ca="1">IF(AM83="","",COUNT(AL$18:AL82)+1)</f>
        <v/>
      </c>
      <c r="AM83" s="165" t="str">
        <f ca="1">IF(Prioritering!K79&gt;=Forside!H$7,Prioritering!E79,"")</f>
        <v/>
      </c>
      <c r="AN83" s="165" t="str">
        <f ca="1">IF(AM83="","",Prioritering!G79)</f>
        <v/>
      </c>
      <c r="AO83" s="159" t="str">
        <f ca="1">IF(AP83="","",COUNT(AO$18:AO82)+1)</f>
        <v/>
      </c>
      <c r="AP83" s="172" t="str">
        <f ca="1">IF(Prioritering!K79&gt;=Forside!H$8,IF(Prioritering!K79&lt;H$7,Prioritering!E79,""),"")</f>
        <v/>
      </c>
      <c r="AQ83" s="159" t="str">
        <f ca="1">IF(AP83="","",Prioritering!G79)</f>
        <v/>
      </c>
      <c r="AR83" s="174" t="str">
        <f ca="1">IF(AS83="","",COUNT(AR$18:AR82)+1)</f>
        <v/>
      </c>
      <c r="AS83" s="174" t="str">
        <f ca="1">IF(Prioritering!K79&gt;=Forside!H$9,IF(Prioritering!K79&lt;H$8,Prioritering!E79,""),"")</f>
        <v/>
      </c>
      <c r="AT83" s="174" t="str">
        <f ca="1">IF(AS83="","",Prioritering!G79)</f>
        <v/>
      </c>
      <c r="AU83" s="177" t="str">
        <f ca="1">IF(AV83="","",COUNT(AU$18:AU82)+1)</f>
        <v/>
      </c>
      <c r="AV83" s="177" t="str">
        <f ca="1">IF(Prioritering!K79&lt;Forside!H$9,Prioritering!E79,"")</f>
        <v/>
      </c>
      <c r="AW83" s="177" t="str">
        <f ca="1">IF(AV83="","",Prioritering!G79)</f>
        <v/>
      </c>
    </row>
    <row r="84" spans="11:49" ht="15" customHeight="1" x14ac:dyDescent="0.25">
      <c r="K84" s="15"/>
      <c r="AL84" s="165" t="str">
        <f ca="1">IF(AM84="","",COUNT(AL$18:AL83)+1)</f>
        <v/>
      </c>
      <c r="AM84" s="165" t="str">
        <f ca="1">IF(Prioritering!K80&gt;=Forside!H$7,Prioritering!E80,"")</f>
        <v/>
      </c>
      <c r="AN84" s="165" t="str">
        <f ca="1">IF(AM84="","",Prioritering!G80)</f>
        <v/>
      </c>
      <c r="AO84" s="159" t="str">
        <f ca="1">IF(AP84="","",COUNT(AO$18:AO83)+1)</f>
        <v/>
      </c>
      <c r="AP84" s="172" t="str">
        <f ca="1">IF(Prioritering!K80&gt;=Forside!H$8,IF(Prioritering!K80&lt;H$7,Prioritering!E80,""),"")</f>
        <v/>
      </c>
      <c r="AQ84" s="159" t="str">
        <f ca="1">IF(AP84="","",Prioritering!G80)</f>
        <v/>
      </c>
      <c r="AR84" s="174" t="str">
        <f ca="1">IF(AS84="","",COUNT(AR$18:AR83)+1)</f>
        <v/>
      </c>
      <c r="AS84" s="174" t="str">
        <f ca="1">IF(Prioritering!K80&gt;=Forside!H$9,IF(Prioritering!K80&lt;H$8,Prioritering!E80,""),"")</f>
        <v/>
      </c>
      <c r="AT84" s="174" t="str">
        <f ca="1">IF(AS84="","",Prioritering!G80)</f>
        <v/>
      </c>
      <c r="AU84" s="177" t="str">
        <f ca="1">IF(AV84="","",COUNT(AU$18:AU83)+1)</f>
        <v/>
      </c>
      <c r="AV84" s="177" t="str">
        <f ca="1">IF(Prioritering!K80&lt;Forside!H$9,Prioritering!E80,"")</f>
        <v/>
      </c>
      <c r="AW84" s="177" t="str">
        <f ca="1">IF(AV84="","",Prioritering!G80)</f>
        <v/>
      </c>
    </row>
    <row r="85" spans="11:49" ht="15" customHeight="1" x14ac:dyDescent="0.25">
      <c r="K85" s="15"/>
      <c r="AL85" s="165" t="str">
        <f ca="1">IF(AM85="","",COUNT(AL$18:AL84)+1)</f>
        <v/>
      </c>
      <c r="AM85" s="165" t="str">
        <f ca="1">IF(Prioritering!K81&gt;=Forside!H$7,Prioritering!E81,"")</f>
        <v/>
      </c>
      <c r="AN85" s="165" t="str">
        <f ca="1">IF(AM85="","",Prioritering!G81)</f>
        <v/>
      </c>
      <c r="AO85" s="159" t="str">
        <f ca="1">IF(AP85="","",COUNT(AO$18:AO84)+1)</f>
        <v/>
      </c>
      <c r="AP85" s="172" t="str">
        <f ca="1">IF(Prioritering!K81&gt;=Forside!H$8,IF(Prioritering!K81&lt;H$7,Prioritering!E81,""),"")</f>
        <v/>
      </c>
      <c r="AQ85" s="159" t="str">
        <f ca="1">IF(AP85="","",Prioritering!G81)</f>
        <v/>
      </c>
      <c r="AR85" s="174" t="str">
        <f ca="1">IF(AS85="","",COUNT(AR$18:AR84)+1)</f>
        <v/>
      </c>
      <c r="AS85" s="174" t="str">
        <f ca="1">IF(Prioritering!K81&gt;=Forside!H$9,IF(Prioritering!K81&lt;H$8,Prioritering!E81,""),"")</f>
        <v/>
      </c>
      <c r="AT85" s="174" t="str">
        <f ca="1">IF(AS85="","",Prioritering!G81)</f>
        <v/>
      </c>
      <c r="AU85" s="177" t="str">
        <f ca="1">IF(AV85="","",COUNT(AU$18:AU84)+1)</f>
        <v/>
      </c>
      <c r="AV85" s="177" t="str">
        <f ca="1">IF(Prioritering!K81&lt;Forside!H$9,Prioritering!E81,"")</f>
        <v/>
      </c>
      <c r="AW85" s="177" t="str">
        <f ca="1">IF(AV85="","",Prioritering!G81)</f>
        <v/>
      </c>
    </row>
    <row r="86" spans="11:49" ht="15" customHeight="1" x14ac:dyDescent="0.25">
      <c r="K86" s="15"/>
      <c r="AL86" s="165" t="str">
        <f ca="1">IF(AM86="","",COUNT(AL$18:AL85)+1)</f>
        <v/>
      </c>
      <c r="AM86" s="165" t="str">
        <f ca="1">IF(Prioritering!K82&gt;=Forside!H$7,Prioritering!E82,"")</f>
        <v/>
      </c>
      <c r="AN86" s="165" t="str">
        <f ca="1">IF(AM86="","",Prioritering!G82)</f>
        <v/>
      </c>
      <c r="AO86" s="159" t="str">
        <f ca="1">IF(AP86="","",COUNT(AO$18:AO85)+1)</f>
        <v/>
      </c>
      <c r="AP86" s="172" t="str">
        <f ca="1">IF(Prioritering!K82&gt;=Forside!H$8,IF(Prioritering!K82&lt;H$7,Prioritering!E82,""),"")</f>
        <v/>
      </c>
      <c r="AQ86" s="159" t="str">
        <f ca="1">IF(AP86="","",Prioritering!G82)</f>
        <v/>
      </c>
      <c r="AR86" s="174" t="str">
        <f ca="1">IF(AS86="","",COUNT(AR$18:AR85)+1)</f>
        <v/>
      </c>
      <c r="AS86" s="174" t="str">
        <f ca="1">IF(Prioritering!K82&gt;=Forside!H$9,IF(Prioritering!K82&lt;H$8,Prioritering!E82,""),"")</f>
        <v/>
      </c>
      <c r="AT86" s="174" t="str">
        <f ca="1">IF(AS86="","",Prioritering!G82)</f>
        <v/>
      </c>
      <c r="AU86" s="177" t="str">
        <f ca="1">IF(AV86="","",COUNT(AU$18:AU85)+1)</f>
        <v/>
      </c>
      <c r="AV86" s="177" t="str">
        <f ca="1">IF(Prioritering!K82&lt;Forside!H$9,Prioritering!E82,"")</f>
        <v/>
      </c>
      <c r="AW86" s="177" t="str">
        <f ca="1">IF(AV86="","",Prioritering!G82)</f>
        <v/>
      </c>
    </row>
    <row r="87" spans="11:49" ht="15" customHeight="1" x14ac:dyDescent="0.25">
      <c r="K87" s="15"/>
      <c r="AL87" s="165" t="str">
        <f ca="1">IF(AM87="","",COUNT(AL$18:AL86)+1)</f>
        <v/>
      </c>
      <c r="AM87" s="165" t="str">
        <f ca="1">IF(Prioritering!K83&gt;=Forside!H$7,Prioritering!E83,"")</f>
        <v/>
      </c>
      <c r="AN87" s="165" t="str">
        <f ca="1">IF(AM87="","",Prioritering!G83)</f>
        <v/>
      </c>
      <c r="AO87" s="159" t="str">
        <f ca="1">IF(AP87="","",COUNT(AO$18:AO86)+1)</f>
        <v/>
      </c>
      <c r="AP87" s="172" t="str">
        <f ca="1">IF(Prioritering!K83&gt;=Forside!H$8,IF(Prioritering!K83&lt;H$7,Prioritering!E83,""),"")</f>
        <v/>
      </c>
      <c r="AQ87" s="159" t="str">
        <f ca="1">IF(AP87="","",Prioritering!G83)</f>
        <v/>
      </c>
      <c r="AR87" s="174" t="str">
        <f ca="1">IF(AS87="","",COUNT(AR$18:AR86)+1)</f>
        <v/>
      </c>
      <c r="AS87" s="174" t="str">
        <f ca="1">IF(Prioritering!K83&gt;=Forside!H$9,IF(Prioritering!K83&lt;H$8,Prioritering!E83,""),"")</f>
        <v/>
      </c>
      <c r="AT87" s="174" t="str">
        <f ca="1">IF(AS87="","",Prioritering!G83)</f>
        <v/>
      </c>
      <c r="AU87" s="177" t="str">
        <f ca="1">IF(AV87="","",COUNT(AU$18:AU86)+1)</f>
        <v/>
      </c>
      <c r="AV87" s="177" t="str">
        <f ca="1">IF(Prioritering!K83&lt;Forside!H$9,Prioritering!E83,"")</f>
        <v/>
      </c>
      <c r="AW87" s="177" t="str">
        <f ca="1">IF(AV87="","",Prioritering!G83)</f>
        <v/>
      </c>
    </row>
    <row r="88" spans="11:49" ht="15" customHeight="1" x14ac:dyDescent="0.25">
      <c r="K88" s="15"/>
      <c r="AL88" s="165" t="str">
        <f ca="1">IF(AM88="","",COUNT(AL$18:AL87)+1)</f>
        <v/>
      </c>
      <c r="AM88" s="165" t="str">
        <f ca="1">IF(Prioritering!K84&gt;=Forside!H$7,Prioritering!E84,"")</f>
        <v/>
      </c>
      <c r="AN88" s="165" t="str">
        <f ca="1">IF(AM88="","",Prioritering!G84)</f>
        <v/>
      </c>
      <c r="AO88" s="159" t="str">
        <f ca="1">IF(AP88="","",COUNT(AO$18:AO87)+1)</f>
        <v/>
      </c>
      <c r="AP88" s="172" t="str">
        <f ca="1">IF(Prioritering!K84&gt;=Forside!H$8,IF(Prioritering!K84&lt;H$7,Prioritering!E84,""),"")</f>
        <v/>
      </c>
      <c r="AQ88" s="159" t="str">
        <f ca="1">IF(AP88="","",Prioritering!G84)</f>
        <v/>
      </c>
      <c r="AR88" s="174" t="str">
        <f ca="1">IF(AS88="","",COUNT(AR$18:AR87)+1)</f>
        <v/>
      </c>
      <c r="AS88" s="174" t="str">
        <f ca="1">IF(Prioritering!K84&gt;=Forside!H$9,IF(Prioritering!K84&lt;H$8,Prioritering!E84,""),"")</f>
        <v/>
      </c>
      <c r="AT88" s="174" t="str">
        <f ca="1">IF(AS88="","",Prioritering!G84)</f>
        <v/>
      </c>
      <c r="AU88" s="177" t="str">
        <f ca="1">IF(AV88="","",COUNT(AU$18:AU87)+1)</f>
        <v/>
      </c>
      <c r="AV88" s="177" t="str">
        <f ca="1">IF(Prioritering!K84&lt;Forside!H$9,Prioritering!E84,"")</f>
        <v/>
      </c>
      <c r="AW88" s="177" t="str">
        <f ca="1">IF(AV88="","",Prioritering!G84)</f>
        <v/>
      </c>
    </row>
    <row r="89" spans="11:49" ht="15" customHeight="1" x14ac:dyDescent="0.25">
      <c r="K89" s="15"/>
      <c r="AL89" s="165" t="str">
        <f ca="1">IF(AM89="","",COUNT(AL$18:AL88)+1)</f>
        <v/>
      </c>
      <c r="AM89" s="165" t="str">
        <f ca="1">IF(Prioritering!K85&gt;=Forside!H$7,Prioritering!E85,"")</f>
        <v/>
      </c>
      <c r="AN89" s="165" t="str">
        <f ca="1">IF(AM89="","",Prioritering!G85)</f>
        <v/>
      </c>
      <c r="AO89" s="159" t="str">
        <f ca="1">IF(AP89="","",COUNT(AO$18:AO88)+1)</f>
        <v/>
      </c>
      <c r="AP89" s="172" t="str">
        <f ca="1">IF(Prioritering!K85&gt;=Forside!H$8,IF(Prioritering!K85&lt;H$7,Prioritering!E85,""),"")</f>
        <v/>
      </c>
      <c r="AQ89" s="159" t="str">
        <f ca="1">IF(AP89="","",Prioritering!G85)</f>
        <v/>
      </c>
      <c r="AR89" s="174" t="str">
        <f ca="1">IF(AS89="","",COUNT(AR$18:AR88)+1)</f>
        <v/>
      </c>
      <c r="AS89" s="174" t="str">
        <f ca="1">IF(Prioritering!K85&gt;=Forside!H$9,IF(Prioritering!K85&lt;H$8,Prioritering!E85,""),"")</f>
        <v/>
      </c>
      <c r="AT89" s="174" t="str">
        <f ca="1">IF(AS89="","",Prioritering!G85)</f>
        <v/>
      </c>
      <c r="AU89" s="177" t="str">
        <f ca="1">IF(AV89="","",COUNT(AU$18:AU88)+1)</f>
        <v/>
      </c>
      <c r="AV89" s="177" t="str">
        <f ca="1">IF(Prioritering!K85&lt;Forside!H$9,Prioritering!E85,"")</f>
        <v/>
      </c>
      <c r="AW89" s="177" t="str">
        <f ca="1">IF(AV89="","",Prioritering!G85)</f>
        <v/>
      </c>
    </row>
    <row r="90" spans="11:49" ht="15" customHeight="1" x14ac:dyDescent="0.25">
      <c r="K90" s="15"/>
      <c r="AL90" s="165" t="str">
        <f ca="1">IF(AM90="","",COUNT(AL$18:AL89)+1)</f>
        <v/>
      </c>
      <c r="AM90" s="165" t="str">
        <f ca="1">IF(Prioritering!K86&gt;=Forside!H$7,Prioritering!E86,"")</f>
        <v/>
      </c>
      <c r="AN90" s="165" t="str">
        <f ca="1">IF(AM90="","",Prioritering!G86)</f>
        <v/>
      </c>
      <c r="AO90" s="159" t="str">
        <f ca="1">IF(AP90="","",COUNT(AO$18:AO89)+1)</f>
        <v/>
      </c>
      <c r="AP90" s="172" t="str">
        <f ca="1">IF(Prioritering!K86&gt;=Forside!H$8,IF(Prioritering!K86&lt;H$7,Prioritering!E86,""),"")</f>
        <v/>
      </c>
      <c r="AQ90" s="159" t="str">
        <f ca="1">IF(AP90="","",Prioritering!G86)</f>
        <v/>
      </c>
      <c r="AR90" s="174" t="str">
        <f ca="1">IF(AS90="","",COUNT(AR$18:AR89)+1)</f>
        <v/>
      </c>
      <c r="AS90" s="174" t="str">
        <f ca="1">IF(Prioritering!K86&gt;=Forside!H$9,IF(Prioritering!K86&lt;H$8,Prioritering!E86,""),"")</f>
        <v/>
      </c>
      <c r="AT90" s="174" t="str">
        <f ca="1">IF(AS90="","",Prioritering!G86)</f>
        <v/>
      </c>
      <c r="AU90" s="177" t="str">
        <f ca="1">IF(AV90="","",COUNT(AU$18:AU89)+1)</f>
        <v/>
      </c>
      <c r="AV90" s="177" t="str">
        <f ca="1">IF(Prioritering!K86&lt;Forside!H$9,Prioritering!E86,"")</f>
        <v/>
      </c>
      <c r="AW90" s="177" t="str">
        <f ca="1">IF(AV90="","",Prioritering!G86)</f>
        <v/>
      </c>
    </row>
    <row r="91" spans="11:49" ht="15" customHeight="1" x14ac:dyDescent="0.25">
      <c r="K91" s="15"/>
      <c r="AL91" s="165" t="str">
        <f ca="1">IF(AM91="","",COUNT(AL$18:AL90)+1)</f>
        <v/>
      </c>
      <c r="AM91" s="165" t="str">
        <f ca="1">IF(Prioritering!K87&gt;=Forside!H$7,Prioritering!E87,"")</f>
        <v/>
      </c>
      <c r="AN91" s="165" t="str">
        <f ca="1">IF(AM91="","",Prioritering!G87)</f>
        <v/>
      </c>
      <c r="AO91" s="159" t="str">
        <f ca="1">IF(AP91="","",COUNT(AO$18:AO90)+1)</f>
        <v/>
      </c>
      <c r="AP91" s="172" t="str">
        <f ca="1">IF(Prioritering!K87&gt;=Forside!H$8,IF(Prioritering!K87&lt;H$7,Prioritering!E87,""),"")</f>
        <v/>
      </c>
      <c r="AQ91" s="159" t="str">
        <f ca="1">IF(AP91="","",Prioritering!G87)</f>
        <v/>
      </c>
      <c r="AR91" s="174" t="str">
        <f ca="1">IF(AS91="","",COUNT(AR$18:AR90)+1)</f>
        <v/>
      </c>
      <c r="AS91" s="174" t="str">
        <f ca="1">IF(Prioritering!K87&gt;=Forside!H$9,IF(Prioritering!K87&lt;H$8,Prioritering!E87,""),"")</f>
        <v/>
      </c>
      <c r="AT91" s="174" t="str">
        <f ca="1">IF(AS91="","",Prioritering!G87)</f>
        <v/>
      </c>
      <c r="AU91" s="177" t="str">
        <f ca="1">IF(AV91="","",COUNT(AU$18:AU90)+1)</f>
        <v/>
      </c>
      <c r="AV91" s="177" t="str">
        <f ca="1">IF(Prioritering!K87&lt;Forside!H$9,Prioritering!E87,"")</f>
        <v/>
      </c>
      <c r="AW91" s="177" t="str">
        <f ca="1">IF(AV91="","",Prioritering!G87)</f>
        <v/>
      </c>
    </row>
    <row r="92" spans="11:49" ht="15" customHeight="1" x14ac:dyDescent="0.25">
      <c r="K92" s="15"/>
      <c r="AL92" s="165" t="str">
        <f ca="1">IF(AM92="","",COUNT(AL$18:AL91)+1)</f>
        <v/>
      </c>
      <c r="AM92" s="165" t="str">
        <f ca="1">IF(Prioritering!K88&gt;=Forside!H$7,Prioritering!E88,"")</f>
        <v/>
      </c>
      <c r="AN92" s="165" t="str">
        <f ca="1">IF(AM92="","",Prioritering!G88)</f>
        <v/>
      </c>
      <c r="AO92" s="159" t="str">
        <f ca="1">IF(AP92="","",COUNT(AO$18:AO91)+1)</f>
        <v/>
      </c>
      <c r="AP92" s="172" t="str">
        <f ca="1">IF(Prioritering!K88&gt;=Forside!H$8,IF(Prioritering!K88&lt;H$7,Prioritering!E88,""),"")</f>
        <v/>
      </c>
      <c r="AQ92" s="159" t="str">
        <f ca="1">IF(AP92="","",Prioritering!G88)</f>
        <v/>
      </c>
      <c r="AR92" s="174" t="str">
        <f ca="1">IF(AS92="","",COUNT(AR$18:AR91)+1)</f>
        <v/>
      </c>
      <c r="AS92" s="174" t="str">
        <f ca="1">IF(Prioritering!K88&gt;=Forside!H$9,IF(Prioritering!K88&lt;H$8,Prioritering!E88,""),"")</f>
        <v/>
      </c>
      <c r="AT92" s="174" t="str">
        <f ca="1">IF(AS92="","",Prioritering!G88)</f>
        <v/>
      </c>
      <c r="AU92" s="177" t="str">
        <f ca="1">IF(AV92="","",COUNT(AU$18:AU91)+1)</f>
        <v/>
      </c>
      <c r="AV92" s="177" t="str">
        <f ca="1">IF(Prioritering!K88&lt;Forside!H$9,Prioritering!E88,"")</f>
        <v/>
      </c>
      <c r="AW92" s="177" t="str">
        <f ca="1">IF(AV92="","",Prioritering!G88)</f>
        <v/>
      </c>
    </row>
    <row r="93" spans="11:49" ht="15" customHeight="1" x14ac:dyDescent="0.25">
      <c r="K93" s="15"/>
      <c r="AL93" s="165" t="str">
        <f ca="1">IF(AM93="","",COUNT(AL$18:AL92)+1)</f>
        <v/>
      </c>
      <c r="AM93" s="165" t="str">
        <f ca="1">IF(Prioritering!K89&gt;=Forside!H$7,Prioritering!E89,"")</f>
        <v/>
      </c>
      <c r="AN93" s="165" t="str">
        <f ca="1">IF(AM93="","",Prioritering!G89)</f>
        <v/>
      </c>
      <c r="AO93" s="159" t="str">
        <f ca="1">IF(AP93="","",COUNT(AO$18:AO92)+1)</f>
        <v/>
      </c>
      <c r="AP93" s="172" t="str">
        <f ca="1">IF(Prioritering!K89&gt;=Forside!H$8,IF(Prioritering!K89&lt;H$7,Prioritering!E89,""),"")</f>
        <v/>
      </c>
      <c r="AQ93" s="159" t="str">
        <f ca="1">IF(AP93="","",Prioritering!G89)</f>
        <v/>
      </c>
      <c r="AR93" s="174" t="str">
        <f ca="1">IF(AS93="","",COUNT(AR$18:AR92)+1)</f>
        <v/>
      </c>
      <c r="AS93" s="174" t="str">
        <f ca="1">IF(Prioritering!K89&gt;=Forside!H$9,IF(Prioritering!K89&lt;H$8,Prioritering!E89,""),"")</f>
        <v/>
      </c>
      <c r="AT93" s="174" t="str">
        <f ca="1">IF(AS93="","",Prioritering!G89)</f>
        <v/>
      </c>
      <c r="AU93" s="177" t="str">
        <f ca="1">IF(AV93="","",COUNT(AU$18:AU92)+1)</f>
        <v/>
      </c>
      <c r="AV93" s="177" t="str">
        <f ca="1">IF(Prioritering!K89&lt;Forside!H$9,Prioritering!E89,"")</f>
        <v/>
      </c>
      <c r="AW93" s="177" t="str">
        <f ca="1">IF(AV93="","",Prioritering!G89)</f>
        <v/>
      </c>
    </row>
    <row r="94" spans="11:49" ht="15" customHeight="1" x14ac:dyDescent="0.25">
      <c r="K94" s="15"/>
      <c r="AL94" s="165" t="str">
        <f ca="1">IF(AM94="","",COUNT(AL$18:AL93)+1)</f>
        <v/>
      </c>
      <c r="AM94" s="165" t="str">
        <f ca="1">IF(Prioritering!K90&gt;=Forside!H$7,Prioritering!E90,"")</f>
        <v/>
      </c>
      <c r="AN94" s="165" t="str">
        <f ca="1">IF(AM94="","",Prioritering!G90)</f>
        <v/>
      </c>
      <c r="AO94" s="159" t="str">
        <f ca="1">IF(AP94="","",COUNT(AO$18:AO93)+1)</f>
        <v/>
      </c>
      <c r="AP94" s="172" t="str">
        <f ca="1">IF(Prioritering!K90&gt;=Forside!H$8,IF(Prioritering!K90&lt;H$7,Prioritering!E90,""),"")</f>
        <v/>
      </c>
      <c r="AQ94" s="159" t="str">
        <f ca="1">IF(AP94="","",Prioritering!G90)</f>
        <v/>
      </c>
      <c r="AR94" s="174" t="str">
        <f ca="1">IF(AS94="","",COUNT(AR$18:AR93)+1)</f>
        <v/>
      </c>
      <c r="AS94" s="174" t="str">
        <f ca="1">IF(Prioritering!K90&gt;=Forside!H$9,IF(Prioritering!K90&lt;H$8,Prioritering!E90,""),"")</f>
        <v/>
      </c>
      <c r="AT94" s="174" t="str">
        <f ca="1">IF(AS94="","",Prioritering!G90)</f>
        <v/>
      </c>
      <c r="AU94" s="177" t="str">
        <f ca="1">IF(AV94="","",COUNT(AU$18:AU93)+1)</f>
        <v/>
      </c>
      <c r="AV94" s="177" t="str">
        <f ca="1">IF(Prioritering!K90&lt;Forside!H$9,Prioritering!E90,"")</f>
        <v/>
      </c>
      <c r="AW94" s="177" t="str">
        <f ca="1">IF(AV94="","",Prioritering!G90)</f>
        <v/>
      </c>
    </row>
    <row r="95" spans="11:49" ht="15" customHeight="1" x14ac:dyDescent="0.25">
      <c r="K95" s="15"/>
      <c r="AL95" s="165" t="str">
        <f ca="1">IF(AM95="","",COUNT(AL$18:AL94)+1)</f>
        <v/>
      </c>
      <c r="AM95" s="165" t="str">
        <f ca="1">IF(Prioritering!K91&gt;=Forside!H$7,Prioritering!E91,"")</f>
        <v/>
      </c>
      <c r="AN95" s="165" t="str">
        <f ca="1">IF(AM95="","",Prioritering!G91)</f>
        <v/>
      </c>
      <c r="AO95" s="159" t="str">
        <f ca="1">IF(AP95="","",COUNT(AO$18:AO94)+1)</f>
        <v/>
      </c>
      <c r="AP95" s="172" t="str">
        <f ca="1">IF(Prioritering!K91&gt;=Forside!H$8,IF(Prioritering!K91&lt;H$7,Prioritering!E91,""),"")</f>
        <v/>
      </c>
      <c r="AQ95" s="159" t="str">
        <f ca="1">IF(AP95="","",Prioritering!G91)</f>
        <v/>
      </c>
      <c r="AR95" s="174" t="str">
        <f ca="1">IF(AS95="","",COUNT(AR$18:AR94)+1)</f>
        <v/>
      </c>
      <c r="AS95" s="174" t="str">
        <f ca="1">IF(Prioritering!K91&gt;=Forside!H$9,IF(Prioritering!K91&lt;H$8,Prioritering!E91,""),"")</f>
        <v/>
      </c>
      <c r="AT95" s="174" t="str">
        <f ca="1">IF(AS95="","",Prioritering!G91)</f>
        <v/>
      </c>
      <c r="AU95" s="177" t="str">
        <f ca="1">IF(AV95="","",COUNT(AU$18:AU94)+1)</f>
        <v/>
      </c>
      <c r="AV95" s="177" t="str">
        <f ca="1">IF(Prioritering!K91&lt;Forside!H$9,Prioritering!E91,"")</f>
        <v/>
      </c>
      <c r="AW95" s="177" t="str">
        <f ca="1">IF(AV95="","",Prioritering!G91)</f>
        <v/>
      </c>
    </row>
    <row r="96" spans="11:49" ht="15" customHeight="1" x14ac:dyDescent="0.25">
      <c r="K96" s="15"/>
      <c r="AL96" s="165" t="str">
        <f ca="1">IF(AM96="","",COUNT(AL$18:AL95)+1)</f>
        <v/>
      </c>
      <c r="AM96" s="165" t="str">
        <f ca="1">IF(Prioritering!K92&gt;=Forside!H$7,Prioritering!E92,"")</f>
        <v/>
      </c>
      <c r="AN96" s="165" t="str">
        <f ca="1">IF(AM96="","",Prioritering!G92)</f>
        <v/>
      </c>
      <c r="AO96" s="159" t="str">
        <f ca="1">IF(AP96="","",COUNT(AO$18:AO95)+1)</f>
        <v/>
      </c>
      <c r="AP96" s="172" t="str">
        <f ca="1">IF(Prioritering!K92&gt;=Forside!H$8,IF(Prioritering!K92&lt;H$7,Prioritering!E92,""),"")</f>
        <v/>
      </c>
      <c r="AQ96" s="159" t="str">
        <f ca="1">IF(AP96="","",Prioritering!G92)</f>
        <v/>
      </c>
      <c r="AR96" s="174" t="str">
        <f ca="1">IF(AS96="","",COUNT(AR$18:AR95)+1)</f>
        <v/>
      </c>
      <c r="AS96" s="174" t="str">
        <f ca="1">IF(Prioritering!K92&gt;=Forside!H$9,IF(Prioritering!K92&lt;H$8,Prioritering!E92,""),"")</f>
        <v/>
      </c>
      <c r="AT96" s="174" t="str">
        <f ca="1">IF(AS96="","",Prioritering!G92)</f>
        <v/>
      </c>
      <c r="AU96" s="177" t="str">
        <f ca="1">IF(AV96="","",COUNT(AU$18:AU95)+1)</f>
        <v/>
      </c>
      <c r="AV96" s="177" t="str">
        <f ca="1">IF(Prioritering!K92&lt;Forside!H$9,Prioritering!E92,"")</f>
        <v/>
      </c>
      <c r="AW96" s="177" t="str">
        <f ca="1">IF(AV96="","",Prioritering!G92)</f>
        <v/>
      </c>
    </row>
    <row r="97" spans="11:49" ht="15" customHeight="1" x14ac:dyDescent="0.25">
      <c r="K97" s="15"/>
      <c r="AL97" s="165" t="str">
        <f ca="1">IF(AM97="","",COUNT(AL$18:AL96)+1)</f>
        <v/>
      </c>
      <c r="AM97" s="165" t="str">
        <f ca="1">IF(Prioritering!K93&gt;=Forside!H$7,Prioritering!E93,"")</f>
        <v/>
      </c>
      <c r="AN97" s="165" t="str">
        <f ca="1">IF(AM97="","",Prioritering!G93)</f>
        <v/>
      </c>
      <c r="AO97" s="159" t="str">
        <f ca="1">IF(AP97="","",COUNT(AO$18:AO96)+1)</f>
        <v/>
      </c>
      <c r="AP97" s="172" t="str">
        <f ca="1">IF(Prioritering!K93&gt;=Forside!H$8,IF(Prioritering!K93&lt;H$7,Prioritering!E93,""),"")</f>
        <v/>
      </c>
      <c r="AQ97" s="159" t="str">
        <f ca="1">IF(AP97="","",Prioritering!G93)</f>
        <v/>
      </c>
      <c r="AR97" s="174" t="str">
        <f ca="1">IF(AS97="","",COUNT(AR$18:AR96)+1)</f>
        <v/>
      </c>
      <c r="AS97" s="174" t="str">
        <f ca="1">IF(Prioritering!K93&gt;=Forside!H$9,IF(Prioritering!K93&lt;H$8,Prioritering!E93,""),"")</f>
        <v/>
      </c>
      <c r="AT97" s="174" t="str">
        <f ca="1">IF(AS97="","",Prioritering!G93)</f>
        <v/>
      </c>
      <c r="AU97" s="177" t="str">
        <f ca="1">IF(AV97="","",COUNT(AU$18:AU96)+1)</f>
        <v/>
      </c>
      <c r="AV97" s="177" t="str">
        <f ca="1">IF(Prioritering!K93&lt;Forside!H$9,Prioritering!E93,"")</f>
        <v/>
      </c>
      <c r="AW97" s="177" t="str">
        <f ca="1">IF(AV97="","",Prioritering!G93)</f>
        <v/>
      </c>
    </row>
    <row r="98" spans="11:49" ht="15" customHeight="1" x14ac:dyDescent="0.25">
      <c r="K98" s="15"/>
      <c r="AL98" s="165" t="str">
        <f ca="1">IF(AM98="","",COUNT(AL$18:AL97)+1)</f>
        <v/>
      </c>
      <c r="AM98" s="165" t="str">
        <f ca="1">IF(Prioritering!K94&gt;=Forside!H$7,Prioritering!E94,"")</f>
        <v/>
      </c>
      <c r="AN98" s="165" t="str">
        <f ca="1">IF(AM98="","",Prioritering!G94)</f>
        <v/>
      </c>
      <c r="AO98" s="159" t="str">
        <f ca="1">IF(AP98="","",COUNT(AO$18:AO97)+1)</f>
        <v/>
      </c>
      <c r="AP98" s="172" t="str">
        <f ca="1">IF(Prioritering!K94&gt;=Forside!H$8,IF(Prioritering!K94&lt;H$7,Prioritering!E94,""),"")</f>
        <v/>
      </c>
      <c r="AQ98" s="159" t="str">
        <f ca="1">IF(AP98="","",Prioritering!G94)</f>
        <v/>
      </c>
      <c r="AR98" s="174" t="str">
        <f ca="1">IF(AS98="","",COUNT(AR$18:AR97)+1)</f>
        <v/>
      </c>
      <c r="AS98" s="174" t="str">
        <f ca="1">IF(Prioritering!K94&gt;=Forside!H$9,IF(Prioritering!K94&lt;H$8,Prioritering!E94,""),"")</f>
        <v/>
      </c>
      <c r="AT98" s="174" t="str">
        <f ca="1">IF(AS98="","",Prioritering!G94)</f>
        <v/>
      </c>
      <c r="AU98" s="177" t="str">
        <f ca="1">IF(AV98="","",COUNT(AU$18:AU97)+1)</f>
        <v/>
      </c>
      <c r="AV98" s="177" t="str">
        <f ca="1">IF(Prioritering!K94&lt;Forside!H$9,Prioritering!E94,"")</f>
        <v/>
      </c>
      <c r="AW98" s="177" t="str">
        <f ca="1">IF(AV98="","",Prioritering!G94)</f>
        <v/>
      </c>
    </row>
    <row r="99" spans="11:49" ht="15" customHeight="1" x14ac:dyDescent="0.25">
      <c r="K99" s="15"/>
      <c r="AL99" s="165" t="str">
        <f ca="1">IF(AM99="","",COUNT(AL$18:AL98)+1)</f>
        <v/>
      </c>
      <c r="AM99" s="165" t="str">
        <f ca="1">IF(Prioritering!K95&gt;=Forside!H$7,Prioritering!E95,"")</f>
        <v/>
      </c>
      <c r="AN99" s="165" t="str">
        <f ca="1">IF(AM99="","",Prioritering!G95)</f>
        <v/>
      </c>
      <c r="AO99" s="159" t="str">
        <f ca="1">IF(AP99="","",COUNT(AO$18:AO98)+1)</f>
        <v/>
      </c>
      <c r="AP99" s="172" t="str">
        <f ca="1">IF(Prioritering!K95&gt;=Forside!H$8,IF(Prioritering!K95&lt;H$7,Prioritering!E95,""),"")</f>
        <v/>
      </c>
      <c r="AQ99" s="159" t="str">
        <f ca="1">IF(AP99="","",Prioritering!G95)</f>
        <v/>
      </c>
      <c r="AR99" s="174" t="str">
        <f ca="1">IF(AS99="","",COUNT(AR$18:AR98)+1)</f>
        <v/>
      </c>
      <c r="AS99" s="174" t="str">
        <f ca="1">IF(Prioritering!K95&gt;=Forside!H$9,IF(Prioritering!K95&lt;H$8,Prioritering!E95,""),"")</f>
        <v/>
      </c>
      <c r="AT99" s="174" t="str">
        <f ca="1">IF(AS99="","",Prioritering!G95)</f>
        <v/>
      </c>
      <c r="AU99" s="177" t="str">
        <f ca="1">IF(AV99="","",COUNT(AU$18:AU98)+1)</f>
        <v/>
      </c>
      <c r="AV99" s="177" t="str">
        <f ca="1">IF(Prioritering!K95&lt;Forside!H$9,Prioritering!E95,"")</f>
        <v/>
      </c>
      <c r="AW99" s="177" t="str">
        <f ca="1">IF(AV99="","",Prioritering!G95)</f>
        <v/>
      </c>
    </row>
    <row r="100" spans="11:49" ht="15" customHeight="1" x14ac:dyDescent="0.25">
      <c r="K100" s="15"/>
      <c r="AL100" s="165" t="str">
        <f ca="1">IF(AM100="","",COUNT(AL$18:AL99)+1)</f>
        <v/>
      </c>
      <c r="AM100" s="165" t="str">
        <f ca="1">IF(Prioritering!K96&gt;=Forside!H$7,Prioritering!E96,"")</f>
        <v/>
      </c>
      <c r="AN100" s="165" t="str">
        <f ca="1">IF(AM100="","",Prioritering!G96)</f>
        <v/>
      </c>
      <c r="AO100" s="159" t="str">
        <f ca="1">IF(AP100="","",COUNT(AO$18:AO99)+1)</f>
        <v/>
      </c>
      <c r="AP100" s="172" t="str">
        <f ca="1">IF(Prioritering!K96&gt;=Forside!H$8,IF(Prioritering!K96&lt;H$7,Prioritering!E96,""),"")</f>
        <v/>
      </c>
      <c r="AQ100" s="159" t="str">
        <f ca="1">IF(AP100="","",Prioritering!G96)</f>
        <v/>
      </c>
      <c r="AR100" s="174" t="str">
        <f ca="1">IF(AS100="","",COUNT(AR$18:AR99)+1)</f>
        <v/>
      </c>
      <c r="AS100" s="174" t="str">
        <f ca="1">IF(Prioritering!K96&gt;=Forside!H$9,IF(Prioritering!K96&lt;H$8,Prioritering!E96,""),"")</f>
        <v/>
      </c>
      <c r="AT100" s="174" t="str">
        <f ca="1">IF(AS100="","",Prioritering!G96)</f>
        <v/>
      </c>
      <c r="AU100" s="177" t="str">
        <f ca="1">IF(AV100="","",COUNT(AU$18:AU99)+1)</f>
        <v/>
      </c>
      <c r="AV100" s="177" t="str">
        <f ca="1">IF(Prioritering!K96&lt;Forside!H$9,Prioritering!E96,"")</f>
        <v/>
      </c>
      <c r="AW100" s="177" t="str">
        <f ca="1">IF(AV100="","",Prioritering!G96)</f>
        <v/>
      </c>
    </row>
    <row r="101" spans="11:49" ht="15" customHeight="1" x14ac:dyDescent="0.25">
      <c r="K101" s="15"/>
      <c r="AL101" s="165" t="str">
        <f ca="1">IF(AM101="","",COUNT(AL$18:AL100)+1)</f>
        <v/>
      </c>
      <c r="AM101" s="165" t="str">
        <f ca="1">IF(Prioritering!K97&gt;=Forside!H$7,Prioritering!E97,"")</f>
        <v/>
      </c>
      <c r="AN101" s="165" t="str">
        <f ca="1">IF(AM101="","",Prioritering!G97)</f>
        <v/>
      </c>
      <c r="AO101" s="159" t="str">
        <f ca="1">IF(AP101="","",COUNT(AO$18:AO100)+1)</f>
        <v/>
      </c>
      <c r="AP101" s="172" t="str">
        <f ca="1">IF(Prioritering!K97&gt;=Forside!H$8,IF(Prioritering!K97&lt;H$7,Prioritering!E97,""),"")</f>
        <v/>
      </c>
      <c r="AQ101" s="159" t="str">
        <f ca="1">IF(AP101="","",Prioritering!G97)</f>
        <v/>
      </c>
      <c r="AR101" s="174" t="str">
        <f ca="1">IF(AS101="","",COUNT(AR$18:AR100)+1)</f>
        <v/>
      </c>
      <c r="AS101" s="174" t="str">
        <f ca="1">IF(Prioritering!K97&gt;=Forside!H$9,IF(Prioritering!K97&lt;H$8,Prioritering!E97,""),"")</f>
        <v/>
      </c>
      <c r="AT101" s="174" t="str">
        <f ca="1">IF(AS101="","",Prioritering!G97)</f>
        <v/>
      </c>
      <c r="AU101" s="177" t="str">
        <f ca="1">IF(AV101="","",COUNT(AU$18:AU100)+1)</f>
        <v/>
      </c>
      <c r="AV101" s="177" t="str">
        <f ca="1">IF(Prioritering!K97&lt;Forside!H$9,Prioritering!E97,"")</f>
        <v/>
      </c>
      <c r="AW101" s="177" t="str">
        <f ca="1">IF(AV101="","",Prioritering!G97)</f>
        <v/>
      </c>
    </row>
    <row r="102" spans="11:49" ht="15" customHeight="1" x14ac:dyDescent="0.25">
      <c r="K102" s="15"/>
      <c r="AL102" s="165" t="str">
        <f ca="1">IF(AM102="","",COUNT(AL$18:AL101)+1)</f>
        <v/>
      </c>
      <c r="AM102" s="165" t="str">
        <f ca="1">IF(Prioritering!K98&gt;=Forside!H$7,Prioritering!E98,"")</f>
        <v/>
      </c>
      <c r="AN102" s="165" t="str">
        <f ca="1">IF(AM102="","",Prioritering!G98)</f>
        <v/>
      </c>
      <c r="AO102" s="159" t="str">
        <f ca="1">IF(AP102="","",COUNT(AO$18:AO101)+1)</f>
        <v/>
      </c>
      <c r="AP102" s="172" t="str">
        <f ca="1">IF(Prioritering!K98&gt;=Forside!H$8,IF(Prioritering!K98&lt;H$7,Prioritering!E98,""),"")</f>
        <v/>
      </c>
      <c r="AQ102" s="159" t="str">
        <f ca="1">IF(AP102="","",Prioritering!G98)</f>
        <v/>
      </c>
      <c r="AR102" s="174" t="str">
        <f ca="1">IF(AS102="","",COUNT(AR$18:AR101)+1)</f>
        <v/>
      </c>
      <c r="AS102" s="174" t="str">
        <f ca="1">IF(Prioritering!K98&gt;=Forside!H$9,IF(Prioritering!K98&lt;H$8,Prioritering!E98,""),"")</f>
        <v/>
      </c>
      <c r="AT102" s="174" t="str">
        <f ca="1">IF(AS102="","",Prioritering!G98)</f>
        <v/>
      </c>
      <c r="AU102" s="177" t="str">
        <f ca="1">IF(AV102="","",COUNT(AU$18:AU101)+1)</f>
        <v/>
      </c>
      <c r="AV102" s="177" t="str">
        <f ca="1">IF(Prioritering!K98&lt;Forside!H$9,Prioritering!E98,"")</f>
        <v/>
      </c>
      <c r="AW102" s="177" t="str">
        <f ca="1">IF(AV102="","",Prioritering!G98)</f>
        <v/>
      </c>
    </row>
    <row r="103" spans="11:49" ht="15" customHeight="1" x14ac:dyDescent="0.25">
      <c r="K103" s="15"/>
      <c r="AL103" s="165" t="str">
        <f ca="1">IF(AM103="","",COUNT(AL$18:AL102)+1)</f>
        <v/>
      </c>
      <c r="AM103" s="165" t="str">
        <f ca="1">IF(Prioritering!K99&gt;=Forside!H$7,Prioritering!E99,"")</f>
        <v/>
      </c>
      <c r="AN103" s="165" t="str">
        <f ca="1">IF(AM103="","",Prioritering!G99)</f>
        <v/>
      </c>
      <c r="AO103" s="159" t="str">
        <f ca="1">IF(AP103="","",COUNT(AO$18:AO102)+1)</f>
        <v/>
      </c>
      <c r="AP103" s="172" t="str">
        <f ca="1">IF(Prioritering!K99&gt;=Forside!H$8,IF(Prioritering!K99&lt;H$7,Prioritering!E99,""),"")</f>
        <v/>
      </c>
      <c r="AQ103" s="159" t="str">
        <f ca="1">IF(AP103="","",Prioritering!G99)</f>
        <v/>
      </c>
      <c r="AR103" s="174" t="str">
        <f ca="1">IF(AS103="","",COUNT(AR$18:AR102)+1)</f>
        <v/>
      </c>
      <c r="AS103" s="174" t="str">
        <f ca="1">IF(Prioritering!K99&gt;=Forside!H$9,IF(Prioritering!K99&lt;H$8,Prioritering!E99,""),"")</f>
        <v/>
      </c>
      <c r="AT103" s="174" t="str">
        <f ca="1">IF(AS103="","",Prioritering!G99)</f>
        <v/>
      </c>
      <c r="AU103" s="177" t="str">
        <f ca="1">IF(AV103="","",COUNT(AU$18:AU102)+1)</f>
        <v/>
      </c>
      <c r="AV103" s="177" t="str">
        <f ca="1">IF(Prioritering!K99&lt;Forside!H$9,Prioritering!E99,"")</f>
        <v/>
      </c>
      <c r="AW103" s="177" t="str">
        <f ca="1">IF(AV103="","",Prioritering!G99)</f>
        <v/>
      </c>
    </row>
    <row r="104" spans="11:49" ht="15" customHeight="1" x14ac:dyDescent="0.25">
      <c r="K104" s="15"/>
      <c r="AL104" s="165" t="str">
        <f ca="1">IF(AM104="","",COUNT(AL$18:AL103)+1)</f>
        <v/>
      </c>
      <c r="AM104" s="165" t="str">
        <f ca="1">IF(Prioritering!K100&gt;=Forside!H$7,Prioritering!E100,"")</f>
        <v/>
      </c>
      <c r="AN104" s="165" t="str">
        <f ca="1">IF(AM104="","",Prioritering!G100)</f>
        <v/>
      </c>
      <c r="AO104" s="159" t="str">
        <f ca="1">IF(AP104="","",COUNT(AO$18:AO103)+1)</f>
        <v/>
      </c>
      <c r="AP104" s="172" t="str">
        <f ca="1">IF(Prioritering!K100&gt;=Forside!H$8,IF(Prioritering!K100&lt;H$7,Prioritering!E100,""),"")</f>
        <v/>
      </c>
      <c r="AQ104" s="159" t="str">
        <f ca="1">IF(AP104="","",Prioritering!G100)</f>
        <v/>
      </c>
      <c r="AR104" s="174" t="str">
        <f ca="1">IF(AS104="","",COUNT(AR$18:AR103)+1)</f>
        <v/>
      </c>
      <c r="AS104" s="174" t="str">
        <f ca="1">IF(Prioritering!K100&gt;=Forside!H$9,IF(Prioritering!K100&lt;H$8,Prioritering!E100,""),"")</f>
        <v/>
      </c>
      <c r="AT104" s="174" t="str">
        <f ca="1">IF(AS104="","",Prioritering!G100)</f>
        <v/>
      </c>
      <c r="AU104" s="177" t="str">
        <f ca="1">IF(AV104="","",COUNT(AU$18:AU103)+1)</f>
        <v/>
      </c>
      <c r="AV104" s="177" t="str">
        <f ca="1">IF(Prioritering!K100&lt;Forside!H$9,Prioritering!E100,"")</f>
        <v/>
      </c>
      <c r="AW104" s="177" t="str">
        <f ca="1">IF(AV104="","",Prioritering!G100)</f>
        <v/>
      </c>
    </row>
    <row r="105" spans="11:49" ht="15" customHeight="1" x14ac:dyDescent="0.25">
      <c r="K105" s="15"/>
      <c r="AL105" s="165" t="str">
        <f ca="1">IF(AM105="","",COUNT(AL$18:AL104)+1)</f>
        <v/>
      </c>
      <c r="AM105" s="165" t="str">
        <f ca="1">IF(Prioritering!K101&gt;=Forside!H$7,Prioritering!E101,"")</f>
        <v/>
      </c>
      <c r="AN105" s="165" t="str">
        <f ca="1">IF(AM105="","",Prioritering!G101)</f>
        <v/>
      </c>
      <c r="AO105" s="159" t="str">
        <f ca="1">IF(AP105="","",COUNT(AO$18:AO104)+1)</f>
        <v/>
      </c>
      <c r="AP105" s="172" t="str">
        <f ca="1">IF(Prioritering!K101&gt;=Forside!H$8,IF(Prioritering!K101&lt;H$7,Prioritering!E101,""),"")</f>
        <v/>
      </c>
      <c r="AQ105" s="159" t="str">
        <f ca="1">IF(AP105="","",Prioritering!G101)</f>
        <v/>
      </c>
      <c r="AR105" s="174" t="str">
        <f ca="1">IF(AS105="","",COUNT(AR$18:AR104)+1)</f>
        <v/>
      </c>
      <c r="AS105" s="174" t="str">
        <f ca="1">IF(Prioritering!K101&gt;=Forside!H$9,IF(Prioritering!K101&lt;H$8,Prioritering!E101,""),"")</f>
        <v/>
      </c>
      <c r="AT105" s="174" t="str">
        <f ca="1">IF(AS105="","",Prioritering!G101)</f>
        <v/>
      </c>
      <c r="AU105" s="177" t="str">
        <f ca="1">IF(AV105="","",COUNT(AU$18:AU104)+1)</f>
        <v/>
      </c>
      <c r="AV105" s="177" t="str">
        <f ca="1">IF(Prioritering!K101&lt;Forside!H$9,Prioritering!E101,"")</f>
        <v/>
      </c>
      <c r="AW105" s="177" t="str">
        <f ca="1">IF(AV105="","",Prioritering!G101)</f>
        <v/>
      </c>
    </row>
    <row r="106" spans="11:49" ht="15" customHeight="1" x14ac:dyDescent="0.25">
      <c r="K106" s="15"/>
      <c r="AL106" s="165" t="str">
        <f ca="1">IF(AM106="","",COUNT(AL$18:AL105)+1)</f>
        <v/>
      </c>
      <c r="AM106" s="165" t="str">
        <f ca="1">IF(Prioritering!K102&gt;=Forside!H$7,Prioritering!E102,"")</f>
        <v/>
      </c>
      <c r="AN106" s="165" t="str">
        <f ca="1">IF(AM106="","",Prioritering!G102)</f>
        <v/>
      </c>
      <c r="AO106" s="159" t="str">
        <f ca="1">IF(AP106="","",COUNT(AO$18:AO105)+1)</f>
        <v/>
      </c>
      <c r="AP106" s="172" t="str">
        <f ca="1">IF(Prioritering!K102&gt;=Forside!H$8,IF(Prioritering!K102&lt;H$7,Prioritering!E102,""),"")</f>
        <v/>
      </c>
      <c r="AQ106" s="159" t="str">
        <f ca="1">IF(AP106="","",Prioritering!G102)</f>
        <v/>
      </c>
      <c r="AR106" s="174" t="str">
        <f ca="1">IF(AS106="","",COUNT(AR$18:AR105)+1)</f>
        <v/>
      </c>
      <c r="AS106" s="174" t="str">
        <f ca="1">IF(Prioritering!K102&gt;=Forside!H$9,IF(Prioritering!K102&lt;H$8,Prioritering!E102,""),"")</f>
        <v/>
      </c>
      <c r="AT106" s="174" t="str">
        <f ca="1">IF(AS106="","",Prioritering!G102)</f>
        <v/>
      </c>
      <c r="AU106" s="177" t="str">
        <f ca="1">IF(AV106="","",COUNT(AU$18:AU105)+1)</f>
        <v/>
      </c>
      <c r="AV106" s="177" t="str">
        <f ca="1">IF(Prioritering!K102&lt;Forside!H$9,Prioritering!E102,"")</f>
        <v/>
      </c>
      <c r="AW106" s="177" t="str">
        <f ca="1">IF(AV106="","",Prioritering!G102)</f>
        <v/>
      </c>
    </row>
    <row r="107" spans="11:49" ht="15" customHeight="1" x14ac:dyDescent="0.25">
      <c r="K107" s="15"/>
      <c r="AL107" s="165" t="str">
        <f ca="1">IF(AM107="","",COUNT(AL$18:AL106)+1)</f>
        <v/>
      </c>
      <c r="AM107" s="165" t="str">
        <f ca="1">IF(Prioritering!K103&gt;=Forside!H$7,Prioritering!E103,"")</f>
        <v/>
      </c>
      <c r="AN107" s="165" t="str">
        <f ca="1">IF(AM107="","",Prioritering!G103)</f>
        <v/>
      </c>
      <c r="AO107" s="159" t="str">
        <f ca="1">IF(AP107="","",COUNT(AO$18:AO106)+1)</f>
        <v/>
      </c>
      <c r="AP107" s="172" t="str">
        <f ca="1">IF(Prioritering!K103&gt;=Forside!H$8,IF(Prioritering!K103&lt;H$7,Prioritering!E103,""),"")</f>
        <v/>
      </c>
      <c r="AQ107" s="159" t="str">
        <f ca="1">IF(AP107="","",Prioritering!G103)</f>
        <v/>
      </c>
      <c r="AR107" s="174" t="str">
        <f ca="1">IF(AS107="","",COUNT(AR$18:AR106)+1)</f>
        <v/>
      </c>
      <c r="AS107" s="174" t="str">
        <f ca="1">IF(Prioritering!K103&gt;=Forside!H$9,IF(Prioritering!K103&lt;H$8,Prioritering!E103,""),"")</f>
        <v/>
      </c>
      <c r="AT107" s="174" t="str">
        <f ca="1">IF(AS107="","",Prioritering!G103)</f>
        <v/>
      </c>
      <c r="AU107" s="177" t="str">
        <f ca="1">IF(AV107="","",COUNT(AU$18:AU106)+1)</f>
        <v/>
      </c>
      <c r="AV107" s="177" t="str">
        <f ca="1">IF(Prioritering!K103&lt;Forside!H$9,Prioritering!E103,"")</f>
        <v/>
      </c>
      <c r="AW107" s="177" t="str">
        <f ca="1">IF(AV107="","",Prioritering!G103)</f>
        <v/>
      </c>
    </row>
    <row r="108" spans="11:49" ht="15" customHeight="1" x14ac:dyDescent="0.25">
      <c r="K108" s="15"/>
      <c r="AL108" s="165" t="str">
        <f ca="1">IF(AM108="","",COUNT(AL$18:AL107)+1)</f>
        <v/>
      </c>
      <c r="AM108" s="165" t="str">
        <f ca="1">IF(Prioritering!K104&gt;=Forside!H$7,Prioritering!E104,"")</f>
        <v/>
      </c>
      <c r="AN108" s="165" t="str">
        <f ca="1">IF(AM108="","",Prioritering!G104)</f>
        <v/>
      </c>
      <c r="AO108" s="159" t="str">
        <f ca="1">IF(AP108="","",COUNT(AO$18:AO107)+1)</f>
        <v/>
      </c>
      <c r="AP108" s="172" t="str">
        <f ca="1">IF(Prioritering!K104&gt;=Forside!H$8,IF(Prioritering!K104&lt;H$7,Prioritering!E104,""),"")</f>
        <v/>
      </c>
      <c r="AQ108" s="159" t="str">
        <f ca="1">IF(AP108="","",Prioritering!G104)</f>
        <v/>
      </c>
      <c r="AR108" s="174" t="str">
        <f ca="1">IF(AS108="","",COUNT(AR$18:AR107)+1)</f>
        <v/>
      </c>
      <c r="AS108" s="174" t="str">
        <f ca="1">IF(Prioritering!K104&gt;=Forside!H$9,IF(Prioritering!K104&lt;H$8,Prioritering!E104,""),"")</f>
        <v/>
      </c>
      <c r="AT108" s="174" t="str">
        <f ca="1">IF(AS108="","",Prioritering!G104)</f>
        <v/>
      </c>
      <c r="AU108" s="177" t="str">
        <f ca="1">IF(AV108="","",COUNT(AU$18:AU107)+1)</f>
        <v/>
      </c>
      <c r="AV108" s="177" t="str">
        <f ca="1">IF(Prioritering!K104&lt;Forside!H$9,Prioritering!E104,"")</f>
        <v/>
      </c>
      <c r="AW108" s="177" t="str">
        <f ca="1">IF(AV108="","",Prioritering!G104)</f>
        <v/>
      </c>
    </row>
    <row r="109" spans="11:49" ht="15" customHeight="1" x14ac:dyDescent="0.25">
      <c r="K109" s="15"/>
      <c r="AL109" s="165" t="str">
        <f ca="1">IF(AM109="","",COUNT(AL$18:AL108)+1)</f>
        <v/>
      </c>
      <c r="AM109" s="165" t="str">
        <f ca="1">IF(Prioritering!K105&gt;=Forside!H$7,Prioritering!E105,"")</f>
        <v/>
      </c>
      <c r="AN109" s="165" t="str">
        <f ca="1">IF(AM109="","",Prioritering!G105)</f>
        <v/>
      </c>
      <c r="AO109" s="159" t="str">
        <f ca="1">IF(AP109="","",COUNT(AO$18:AO108)+1)</f>
        <v/>
      </c>
      <c r="AP109" s="172" t="str">
        <f ca="1">IF(Prioritering!K105&gt;=Forside!H$8,IF(Prioritering!K105&lt;H$7,Prioritering!E105,""),"")</f>
        <v/>
      </c>
      <c r="AQ109" s="159" t="str">
        <f ca="1">IF(AP109="","",Prioritering!G105)</f>
        <v/>
      </c>
      <c r="AR109" s="174" t="str">
        <f ca="1">IF(AS109="","",COUNT(AR$18:AR108)+1)</f>
        <v/>
      </c>
      <c r="AS109" s="174" t="str">
        <f ca="1">IF(Prioritering!K105&gt;=Forside!H$9,IF(Prioritering!K105&lt;H$8,Prioritering!E105,""),"")</f>
        <v/>
      </c>
      <c r="AT109" s="174" t="str">
        <f ca="1">IF(AS109="","",Prioritering!G105)</f>
        <v/>
      </c>
      <c r="AU109" s="177" t="str">
        <f ca="1">IF(AV109="","",COUNT(AU$18:AU108)+1)</f>
        <v/>
      </c>
      <c r="AV109" s="177" t="str">
        <f ca="1">IF(Prioritering!K105&lt;Forside!H$9,Prioritering!E105,"")</f>
        <v/>
      </c>
      <c r="AW109" s="177" t="str">
        <f ca="1">IF(AV109="","",Prioritering!G105)</f>
        <v/>
      </c>
    </row>
    <row r="110" spans="11:49" ht="15" customHeight="1" x14ac:dyDescent="0.25">
      <c r="K110" s="15"/>
      <c r="AL110" s="165" t="str">
        <f ca="1">IF(AM110="","",COUNT(AL$18:AL109)+1)</f>
        <v/>
      </c>
      <c r="AM110" s="165" t="str">
        <f ca="1">IF(Prioritering!K106&gt;=Forside!H$7,Prioritering!E106,"")</f>
        <v/>
      </c>
      <c r="AN110" s="165" t="str">
        <f ca="1">IF(AM110="","",Prioritering!G106)</f>
        <v/>
      </c>
      <c r="AO110" s="159" t="str">
        <f ca="1">IF(AP110="","",COUNT(AO$18:AO109)+1)</f>
        <v/>
      </c>
      <c r="AP110" s="172" t="str">
        <f ca="1">IF(Prioritering!K106&gt;=Forside!H$8,IF(Prioritering!K106&lt;H$7,Prioritering!E106,""),"")</f>
        <v/>
      </c>
      <c r="AQ110" s="159" t="str">
        <f ca="1">IF(AP110="","",Prioritering!G106)</f>
        <v/>
      </c>
      <c r="AR110" s="174" t="str">
        <f ca="1">IF(AS110="","",COUNT(AR$18:AR109)+1)</f>
        <v/>
      </c>
      <c r="AS110" s="174" t="str">
        <f ca="1">IF(Prioritering!K106&gt;=Forside!H$9,IF(Prioritering!K106&lt;H$8,Prioritering!E106,""),"")</f>
        <v/>
      </c>
      <c r="AT110" s="174" t="str">
        <f ca="1">IF(AS110="","",Prioritering!G106)</f>
        <v/>
      </c>
      <c r="AU110" s="177" t="str">
        <f ca="1">IF(AV110="","",COUNT(AU$18:AU109)+1)</f>
        <v/>
      </c>
      <c r="AV110" s="177" t="str">
        <f ca="1">IF(Prioritering!K106&lt;Forside!H$9,Prioritering!E106,"")</f>
        <v/>
      </c>
      <c r="AW110" s="177" t="str">
        <f ca="1">IF(AV110="","",Prioritering!G106)</f>
        <v/>
      </c>
    </row>
    <row r="111" spans="11:49" ht="15" customHeight="1" x14ac:dyDescent="0.25">
      <c r="K111" s="15"/>
      <c r="AL111" s="165" t="str">
        <f ca="1">IF(AM111="","",COUNT(AL$18:AL110)+1)</f>
        <v/>
      </c>
      <c r="AM111" s="165" t="str">
        <f ca="1">IF(Prioritering!K107&gt;=Forside!H$7,Prioritering!E107,"")</f>
        <v/>
      </c>
      <c r="AN111" s="165" t="str">
        <f ca="1">IF(AM111="","",Prioritering!G107)</f>
        <v/>
      </c>
      <c r="AO111" s="159" t="str">
        <f ca="1">IF(AP111="","",COUNT(AO$18:AO110)+1)</f>
        <v/>
      </c>
      <c r="AP111" s="172" t="str">
        <f ca="1">IF(Prioritering!K107&gt;=Forside!H$8,IF(Prioritering!K107&lt;H$7,Prioritering!E107,""),"")</f>
        <v/>
      </c>
      <c r="AQ111" s="159" t="str">
        <f ca="1">IF(AP111="","",Prioritering!G107)</f>
        <v/>
      </c>
      <c r="AR111" s="174" t="str">
        <f ca="1">IF(AS111="","",COUNT(AR$18:AR110)+1)</f>
        <v/>
      </c>
      <c r="AS111" s="174" t="str">
        <f ca="1">IF(Prioritering!K107&gt;=Forside!H$9,IF(Prioritering!K107&lt;H$8,Prioritering!E107,""),"")</f>
        <v/>
      </c>
      <c r="AT111" s="174" t="str">
        <f ca="1">IF(AS111="","",Prioritering!G107)</f>
        <v/>
      </c>
      <c r="AU111" s="177" t="str">
        <f ca="1">IF(AV111="","",COUNT(AU$18:AU110)+1)</f>
        <v/>
      </c>
      <c r="AV111" s="177" t="str">
        <f ca="1">IF(Prioritering!K107&lt;Forside!H$9,Prioritering!E107,"")</f>
        <v/>
      </c>
      <c r="AW111" s="177" t="str">
        <f ca="1">IF(AV111="","",Prioritering!G107)</f>
        <v/>
      </c>
    </row>
    <row r="112" spans="11:49" ht="15" customHeight="1" x14ac:dyDescent="0.25">
      <c r="K112" s="15"/>
      <c r="AL112" s="165" t="str">
        <f ca="1">IF(AM112="","",COUNT(AL$18:AL111)+1)</f>
        <v/>
      </c>
      <c r="AM112" s="165" t="str">
        <f ca="1">IF(Prioritering!K108&gt;=Forside!H$7,Prioritering!E108,"")</f>
        <v/>
      </c>
      <c r="AN112" s="165" t="str">
        <f ca="1">IF(AM112="","",Prioritering!G108)</f>
        <v/>
      </c>
      <c r="AO112" s="159" t="str">
        <f ca="1">IF(AP112="","",COUNT(AO$18:AO111)+1)</f>
        <v/>
      </c>
      <c r="AP112" s="172" t="str">
        <f ca="1">IF(Prioritering!K108&gt;=Forside!H$8,IF(Prioritering!K108&lt;H$7,Prioritering!E108,""),"")</f>
        <v/>
      </c>
      <c r="AQ112" s="159" t="str">
        <f ca="1">IF(AP112="","",Prioritering!G108)</f>
        <v/>
      </c>
      <c r="AR112" s="174" t="str">
        <f ca="1">IF(AS112="","",COUNT(AR$18:AR111)+1)</f>
        <v/>
      </c>
      <c r="AS112" s="174" t="str">
        <f ca="1">IF(Prioritering!K108&gt;=Forside!H$9,IF(Prioritering!K108&lt;H$8,Prioritering!E108,""),"")</f>
        <v/>
      </c>
      <c r="AT112" s="174" t="str">
        <f ca="1">IF(AS112="","",Prioritering!G108)</f>
        <v/>
      </c>
      <c r="AU112" s="177" t="str">
        <f ca="1">IF(AV112="","",COUNT(AU$18:AU111)+1)</f>
        <v/>
      </c>
      <c r="AV112" s="177" t="str">
        <f ca="1">IF(Prioritering!K108&lt;Forside!H$9,Prioritering!E108,"")</f>
        <v/>
      </c>
      <c r="AW112" s="177" t="str">
        <f ca="1">IF(AV112="","",Prioritering!G108)</f>
        <v/>
      </c>
    </row>
    <row r="113" spans="11:49" ht="15" customHeight="1" x14ac:dyDescent="0.25">
      <c r="K113" s="15"/>
      <c r="AL113" s="165" t="str">
        <f ca="1">IF(AM113="","",COUNT(AL$18:AL112)+1)</f>
        <v/>
      </c>
      <c r="AM113" s="165" t="str">
        <f ca="1">IF(Prioritering!K109&gt;=Forside!H$7,Prioritering!E109,"")</f>
        <v/>
      </c>
      <c r="AN113" s="165" t="str">
        <f ca="1">IF(AM113="","",Prioritering!G109)</f>
        <v/>
      </c>
      <c r="AO113" s="159" t="str">
        <f ca="1">IF(AP113="","",COUNT(AO$18:AO112)+1)</f>
        <v/>
      </c>
      <c r="AP113" s="172" t="str">
        <f ca="1">IF(Prioritering!K109&gt;=Forside!H$8,IF(Prioritering!K109&lt;H$7,Prioritering!E109,""),"")</f>
        <v/>
      </c>
      <c r="AQ113" s="159" t="str">
        <f ca="1">IF(AP113="","",Prioritering!G109)</f>
        <v/>
      </c>
      <c r="AR113" s="174" t="str">
        <f ca="1">IF(AS113="","",COUNT(AR$18:AR112)+1)</f>
        <v/>
      </c>
      <c r="AS113" s="174" t="str">
        <f ca="1">IF(Prioritering!K109&gt;=Forside!H$9,IF(Prioritering!K109&lt;H$8,Prioritering!E109,""),"")</f>
        <v/>
      </c>
      <c r="AT113" s="174" t="str">
        <f ca="1">IF(AS113="","",Prioritering!G109)</f>
        <v/>
      </c>
      <c r="AU113" s="177" t="str">
        <f ca="1">IF(AV113="","",COUNT(AU$18:AU112)+1)</f>
        <v/>
      </c>
      <c r="AV113" s="177" t="str">
        <f ca="1">IF(Prioritering!K109&lt;Forside!H$9,Prioritering!E109,"")</f>
        <v/>
      </c>
      <c r="AW113" s="177" t="str">
        <f ca="1">IF(AV113="","",Prioritering!G109)</f>
        <v/>
      </c>
    </row>
    <row r="114" spans="11:49" ht="15" customHeight="1" x14ac:dyDescent="0.25">
      <c r="K114" s="15"/>
      <c r="AL114" s="165" t="str">
        <f ca="1">IF(AM114="","",COUNT(AL$18:AL113)+1)</f>
        <v/>
      </c>
      <c r="AM114" s="165" t="str">
        <f ca="1">IF(Prioritering!K110&gt;=Forside!H$7,Prioritering!E110,"")</f>
        <v/>
      </c>
      <c r="AN114" s="165" t="str">
        <f ca="1">IF(AM114="","",Prioritering!G110)</f>
        <v/>
      </c>
      <c r="AO114" s="159" t="str">
        <f ca="1">IF(AP114="","",COUNT(AO$18:AO113)+1)</f>
        <v/>
      </c>
      <c r="AP114" s="172" t="str">
        <f ca="1">IF(Prioritering!K110&gt;=Forside!H$8,IF(Prioritering!K110&lt;H$7,Prioritering!E110,""),"")</f>
        <v/>
      </c>
      <c r="AQ114" s="159" t="str">
        <f ca="1">IF(AP114="","",Prioritering!G110)</f>
        <v/>
      </c>
      <c r="AR114" s="174" t="str">
        <f ca="1">IF(AS114="","",COUNT(AR$18:AR113)+1)</f>
        <v/>
      </c>
      <c r="AS114" s="174" t="str">
        <f ca="1">IF(Prioritering!K110&gt;=Forside!H$9,IF(Prioritering!K110&lt;H$8,Prioritering!E110,""),"")</f>
        <v/>
      </c>
      <c r="AT114" s="174" t="str">
        <f ca="1">IF(AS114="","",Prioritering!G110)</f>
        <v/>
      </c>
      <c r="AU114" s="177" t="str">
        <f ca="1">IF(AV114="","",COUNT(AU$18:AU113)+1)</f>
        <v/>
      </c>
      <c r="AV114" s="177" t="str">
        <f ca="1">IF(Prioritering!K110&lt;Forside!H$9,Prioritering!E110,"")</f>
        <v/>
      </c>
      <c r="AW114" s="177" t="str">
        <f ca="1">IF(AV114="","",Prioritering!G110)</f>
        <v/>
      </c>
    </row>
    <row r="115" spans="11:49" ht="15" customHeight="1" x14ac:dyDescent="0.25">
      <c r="K115" s="15"/>
      <c r="AL115" s="165" t="str">
        <f ca="1">IF(AM115="","",COUNT(AL$18:AL114)+1)</f>
        <v/>
      </c>
      <c r="AM115" s="165" t="str">
        <f ca="1">IF(Prioritering!K111&gt;=Forside!H$7,Prioritering!E111,"")</f>
        <v/>
      </c>
      <c r="AN115" s="165" t="str">
        <f ca="1">IF(AM115="","",Prioritering!G111)</f>
        <v/>
      </c>
      <c r="AO115" s="159" t="str">
        <f ca="1">IF(AP115="","",COUNT(AO$18:AO114)+1)</f>
        <v/>
      </c>
      <c r="AP115" s="172" t="str">
        <f ca="1">IF(Prioritering!K111&gt;=Forside!H$8,IF(Prioritering!K111&lt;H$7,Prioritering!E111,""),"")</f>
        <v/>
      </c>
      <c r="AQ115" s="159" t="str">
        <f ca="1">IF(AP115="","",Prioritering!G111)</f>
        <v/>
      </c>
      <c r="AR115" s="174" t="str">
        <f ca="1">IF(AS115="","",COUNT(AR$18:AR114)+1)</f>
        <v/>
      </c>
      <c r="AS115" s="174" t="str">
        <f ca="1">IF(Prioritering!K111&gt;=Forside!H$9,IF(Prioritering!K111&lt;H$8,Prioritering!E111,""),"")</f>
        <v/>
      </c>
      <c r="AT115" s="174" t="str">
        <f ca="1">IF(AS115="","",Prioritering!G111)</f>
        <v/>
      </c>
      <c r="AU115" s="177" t="str">
        <f ca="1">IF(AV115="","",COUNT(AU$18:AU114)+1)</f>
        <v/>
      </c>
      <c r="AV115" s="177" t="str">
        <f ca="1">IF(Prioritering!K111&lt;Forside!H$9,Prioritering!E111,"")</f>
        <v/>
      </c>
      <c r="AW115" s="177" t="str">
        <f ca="1">IF(AV115="","",Prioritering!G111)</f>
        <v/>
      </c>
    </row>
    <row r="116" spans="11:49" ht="15" customHeight="1" x14ac:dyDescent="0.25">
      <c r="K116" s="15"/>
      <c r="AL116" s="165" t="str">
        <f ca="1">IF(AM116="","",COUNT(AL$18:AL115)+1)</f>
        <v/>
      </c>
      <c r="AM116" s="165" t="str">
        <f ca="1">IF(Prioritering!K112&gt;=Forside!H$7,Prioritering!E112,"")</f>
        <v/>
      </c>
      <c r="AN116" s="165" t="str">
        <f ca="1">IF(AM116="","",Prioritering!G112)</f>
        <v/>
      </c>
      <c r="AO116" s="159" t="str">
        <f ca="1">IF(AP116="","",COUNT(AO$18:AO115)+1)</f>
        <v/>
      </c>
      <c r="AP116" s="172" t="str">
        <f ca="1">IF(Prioritering!K112&gt;=Forside!H$8,IF(Prioritering!K112&lt;H$7,Prioritering!E112,""),"")</f>
        <v/>
      </c>
      <c r="AQ116" s="159" t="str">
        <f ca="1">IF(AP116="","",Prioritering!G112)</f>
        <v/>
      </c>
      <c r="AR116" s="174" t="str">
        <f ca="1">IF(AS116="","",COUNT(AR$18:AR115)+1)</f>
        <v/>
      </c>
      <c r="AS116" s="174" t="str">
        <f ca="1">IF(Prioritering!K112&gt;=Forside!H$9,IF(Prioritering!K112&lt;H$8,Prioritering!E112,""),"")</f>
        <v/>
      </c>
      <c r="AT116" s="174" t="str">
        <f ca="1">IF(AS116="","",Prioritering!G112)</f>
        <v/>
      </c>
      <c r="AU116" s="177" t="str">
        <f ca="1">IF(AV116="","",COUNT(AU$18:AU115)+1)</f>
        <v/>
      </c>
      <c r="AV116" s="177" t="str">
        <f ca="1">IF(Prioritering!K112&lt;Forside!H$9,Prioritering!E112,"")</f>
        <v/>
      </c>
      <c r="AW116" s="177" t="str">
        <f ca="1">IF(AV116="","",Prioritering!G112)</f>
        <v/>
      </c>
    </row>
    <row r="117" spans="11:49" ht="15" customHeight="1" x14ac:dyDescent="0.25">
      <c r="K117" s="15"/>
      <c r="AL117" s="165" t="str">
        <f ca="1">IF(AM117="","",COUNT(AL$18:AL116)+1)</f>
        <v/>
      </c>
      <c r="AM117" s="165" t="str">
        <f ca="1">IF(Prioritering!K113&gt;=Forside!H$7,Prioritering!E113,"")</f>
        <v/>
      </c>
      <c r="AN117" s="165" t="str">
        <f ca="1">IF(AM117="","",Prioritering!G113)</f>
        <v/>
      </c>
      <c r="AO117" s="159" t="str">
        <f ca="1">IF(AP117="","",COUNT(AO$18:AO116)+1)</f>
        <v/>
      </c>
      <c r="AP117" s="172" t="str">
        <f ca="1">IF(Prioritering!K113&gt;=Forside!H$8,IF(Prioritering!K113&lt;H$7,Prioritering!E113,""),"")</f>
        <v/>
      </c>
      <c r="AQ117" s="159" t="str">
        <f ca="1">IF(AP117="","",Prioritering!G113)</f>
        <v/>
      </c>
      <c r="AR117" s="174" t="str">
        <f ca="1">IF(AS117="","",COUNT(AR$18:AR116)+1)</f>
        <v/>
      </c>
      <c r="AS117" s="174" t="str">
        <f ca="1">IF(Prioritering!K113&gt;=Forside!H$9,IF(Prioritering!K113&lt;H$8,Prioritering!E113,""),"")</f>
        <v/>
      </c>
      <c r="AT117" s="174" t="str">
        <f ca="1">IF(AS117="","",Prioritering!G113)</f>
        <v/>
      </c>
      <c r="AU117" s="177" t="str">
        <f ca="1">IF(AV117="","",COUNT(AU$18:AU116)+1)</f>
        <v/>
      </c>
      <c r="AV117" s="177" t="str">
        <f ca="1">IF(Prioritering!K113&lt;Forside!H$9,Prioritering!E113,"")</f>
        <v/>
      </c>
      <c r="AW117" s="177" t="str">
        <f ca="1">IF(AV117="","",Prioritering!G113)</f>
        <v/>
      </c>
    </row>
    <row r="118" spans="11:49" ht="15" customHeight="1" x14ac:dyDescent="0.25">
      <c r="K118" s="15"/>
      <c r="AL118" s="165" t="str">
        <f ca="1">IF(AM118="","",COUNT(AL$18:AL117)+1)</f>
        <v/>
      </c>
      <c r="AM118" s="165" t="str">
        <f ca="1">IF(Prioritering!K114&gt;=Forside!H$7,Prioritering!E114,"")</f>
        <v/>
      </c>
      <c r="AN118" s="165" t="str">
        <f ca="1">IF(AM118="","",Prioritering!G114)</f>
        <v/>
      </c>
      <c r="AO118" s="159" t="str">
        <f ca="1">IF(AP118="","",COUNT(AO$18:AO117)+1)</f>
        <v/>
      </c>
      <c r="AP118" s="172" t="str">
        <f ca="1">IF(Prioritering!K114&gt;=Forside!H$8,IF(Prioritering!K114&lt;H$7,Prioritering!E114,""),"")</f>
        <v/>
      </c>
      <c r="AQ118" s="159" t="str">
        <f ca="1">IF(AP118="","",Prioritering!G114)</f>
        <v/>
      </c>
      <c r="AR118" s="174" t="str">
        <f ca="1">IF(AS118="","",COUNT(AR$18:AR117)+1)</f>
        <v/>
      </c>
      <c r="AS118" s="174" t="str">
        <f ca="1">IF(Prioritering!K114&gt;=Forside!H$9,IF(Prioritering!K114&lt;H$8,Prioritering!E114,""),"")</f>
        <v/>
      </c>
      <c r="AT118" s="174" t="str">
        <f ca="1">IF(AS118="","",Prioritering!G114)</f>
        <v/>
      </c>
      <c r="AU118" s="177" t="str">
        <f ca="1">IF(AV118="","",COUNT(AU$18:AU117)+1)</f>
        <v/>
      </c>
      <c r="AV118" s="177" t="str">
        <f ca="1">IF(Prioritering!K114&lt;Forside!H$9,Prioritering!E114,"")</f>
        <v/>
      </c>
      <c r="AW118" s="177" t="str">
        <f ca="1">IF(AV118="","",Prioritering!G114)</f>
        <v/>
      </c>
    </row>
    <row r="119" spans="11:49" ht="15" customHeight="1" x14ac:dyDescent="0.25">
      <c r="K119" s="15"/>
      <c r="AL119" s="165" t="str">
        <f ca="1">IF(AM119="","",COUNT(AL$18:AL118)+1)</f>
        <v/>
      </c>
      <c r="AM119" s="165" t="str">
        <f ca="1">IF(Prioritering!K115&gt;=Forside!H$7,Prioritering!E115,"")</f>
        <v/>
      </c>
      <c r="AN119" s="165" t="str">
        <f ca="1">IF(AM119="","",Prioritering!G115)</f>
        <v/>
      </c>
      <c r="AO119" s="159" t="str">
        <f ca="1">IF(AP119="","",COUNT(AO$18:AO118)+1)</f>
        <v/>
      </c>
      <c r="AP119" s="172" t="str">
        <f ca="1">IF(Prioritering!K115&gt;=Forside!H$8,IF(Prioritering!K115&lt;H$7,Prioritering!E115,""),"")</f>
        <v/>
      </c>
      <c r="AQ119" s="159" t="str">
        <f ca="1">IF(AP119="","",Prioritering!G115)</f>
        <v/>
      </c>
      <c r="AR119" s="174" t="str">
        <f ca="1">IF(AS119="","",COUNT(AR$18:AR118)+1)</f>
        <v/>
      </c>
      <c r="AS119" s="174" t="str">
        <f ca="1">IF(Prioritering!K115&gt;=Forside!H$9,IF(Prioritering!K115&lt;H$8,Prioritering!E115,""),"")</f>
        <v/>
      </c>
      <c r="AT119" s="174" t="str">
        <f ca="1">IF(AS119="","",Prioritering!G115)</f>
        <v/>
      </c>
      <c r="AU119" s="177" t="str">
        <f ca="1">IF(AV119="","",COUNT(AU$18:AU118)+1)</f>
        <v/>
      </c>
      <c r="AV119" s="177" t="str">
        <f ca="1">IF(Prioritering!K115&lt;Forside!H$9,Prioritering!E115,"")</f>
        <v/>
      </c>
      <c r="AW119" s="177" t="str">
        <f ca="1">IF(AV119="","",Prioritering!G115)</f>
        <v/>
      </c>
    </row>
    <row r="120" spans="11:49" ht="15" customHeight="1" x14ac:dyDescent="0.25">
      <c r="K120" s="15"/>
      <c r="AL120" s="165" t="str">
        <f ca="1">IF(AM120="","",COUNT(AL$18:AL119)+1)</f>
        <v/>
      </c>
      <c r="AM120" s="165" t="str">
        <f ca="1">IF(Prioritering!K116&gt;=Forside!H$7,Prioritering!E116,"")</f>
        <v/>
      </c>
      <c r="AN120" s="165" t="str">
        <f ca="1">IF(AM120="","",Prioritering!G116)</f>
        <v/>
      </c>
      <c r="AO120" s="159" t="str">
        <f ca="1">IF(AP120="","",COUNT(AO$18:AO119)+1)</f>
        <v/>
      </c>
      <c r="AP120" s="172" t="str">
        <f ca="1">IF(Prioritering!K116&gt;=Forside!H$8,IF(Prioritering!K116&lt;H$7,Prioritering!E116,""),"")</f>
        <v/>
      </c>
      <c r="AQ120" s="159" t="str">
        <f ca="1">IF(AP120="","",Prioritering!G116)</f>
        <v/>
      </c>
      <c r="AR120" s="174" t="str">
        <f ca="1">IF(AS120="","",COUNT(AR$18:AR119)+1)</f>
        <v/>
      </c>
      <c r="AS120" s="174" t="str">
        <f ca="1">IF(Prioritering!K116&gt;=Forside!H$9,IF(Prioritering!K116&lt;H$8,Prioritering!E116,""),"")</f>
        <v/>
      </c>
      <c r="AT120" s="174" t="str">
        <f ca="1">IF(AS120="","",Prioritering!G116)</f>
        <v/>
      </c>
      <c r="AU120" s="177" t="str">
        <f ca="1">IF(AV120="","",COUNT(AU$18:AU119)+1)</f>
        <v/>
      </c>
      <c r="AV120" s="177" t="str">
        <f ca="1">IF(Prioritering!K116&lt;Forside!H$9,Prioritering!E116,"")</f>
        <v/>
      </c>
      <c r="AW120" s="177" t="str">
        <f ca="1">IF(AV120="","",Prioritering!G116)</f>
        <v/>
      </c>
    </row>
    <row r="121" spans="11:49" ht="15" customHeight="1" x14ac:dyDescent="0.25">
      <c r="K121" s="15"/>
      <c r="AL121" s="165" t="str">
        <f ca="1">IF(AM121="","",COUNT(AL$18:AL120)+1)</f>
        <v/>
      </c>
      <c r="AM121" s="165" t="str">
        <f ca="1">IF(Prioritering!K117&gt;=Forside!H$7,Prioritering!E117,"")</f>
        <v/>
      </c>
      <c r="AN121" s="165" t="str">
        <f ca="1">IF(AM121="","",Prioritering!G117)</f>
        <v/>
      </c>
      <c r="AO121" s="159" t="str">
        <f ca="1">IF(AP121="","",COUNT(AO$18:AO120)+1)</f>
        <v/>
      </c>
      <c r="AP121" s="172" t="str">
        <f ca="1">IF(Prioritering!K117&gt;=Forside!H$8,IF(Prioritering!K117&lt;H$7,Prioritering!E117,""),"")</f>
        <v/>
      </c>
      <c r="AQ121" s="159" t="str">
        <f ca="1">IF(AP121="","",Prioritering!G117)</f>
        <v/>
      </c>
      <c r="AR121" s="174" t="str">
        <f ca="1">IF(AS121="","",COUNT(AR$18:AR120)+1)</f>
        <v/>
      </c>
      <c r="AS121" s="174" t="str">
        <f ca="1">IF(Prioritering!K117&gt;=Forside!H$9,IF(Prioritering!K117&lt;H$8,Prioritering!E117,""),"")</f>
        <v/>
      </c>
      <c r="AT121" s="174" t="str">
        <f ca="1">IF(AS121="","",Prioritering!G117)</f>
        <v/>
      </c>
      <c r="AU121" s="177" t="str">
        <f ca="1">IF(AV121="","",COUNT(AU$18:AU120)+1)</f>
        <v/>
      </c>
      <c r="AV121" s="177" t="str">
        <f ca="1">IF(Prioritering!K117&lt;Forside!H$9,Prioritering!E117,"")</f>
        <v/>
      </c>
      <c r="AW121" s="177" t="str">
        <f ca="1">IF(AV121="","",Prioritering!G117)</f>
        <v/>
      </c>
    </row>
    <row r="122" spans="11:49" ht="15" customHeight="1" x14ac:dyDescent="0.25">
      <c r="K122" s="15"/>
      <c r="AL122" s="165" t="str">
        <f ca="1">IF(AM122="","",COUNT(AL$18:AL121)+1)</f>
        <v/>
      </c>
      <c r="AM122" s="165" t="str">
        <f ca="1">IF(Prioritering!K118&gt;=Forside!H$7,Prioritering!E118,"")</f>
        <v/>
      </c>
      <c r="AN122" s="165" t="str">
        <f ca="1">IF(AM122="","",Prioritering!G118)</f>
        <v/>
      </c>
      <c r="AO122" s="159" t="str">
        <f ca="1">IF(AP122="","",COUNT(AO$18:AO121)+1)</f>
        <v/>
      </c>
      <c r="AP122" s="172" t="str">
        <f ca="1">IF(Prioritering!K118&gt;=Forside!H$8,IF(Prioritering!K118&lt;H$7,Prioritering!E118,""),"")</f>
        <v/>
      </c>
      <c r="AQ122" s="159" t="str">
        <f ca="1">IF(AP122="","",Prioritering!G118)</f>
        <v/>
      </c>
      <c r="AR122" s="174" t="str">
        <f ca="1">IF(AS122="","",COUNT(AR$18:AR121)+1)</f>
        <v/>
      </c>
      <c r="AS122" s="174" t="str">
        <f ca="1">IF(Prioritering!K118&gt;=Forside!H$9,IF(Prioritering!K118&lt;H$8,Prioritering!E118,""),"")</f>
        <v/>
      </c>
      <c r="AT122" s="174" t="str">
        <f ca="1">IF(AS122="","",Prioritering!G118)</f>
        <v/>
      </c>
      <c r="AU122" s="177" t="str">
        <f ca="1">IF(AV122="","",COUNT(AU$18:AU121)+1)</f>
        <v/>
      </c>
      <c r="AV122" s="177" t="str">
        <f ca="1">IF(Prioritering!K118&lt;Forside!H$9,Prioritering!E118,"")</f>
        <v/>
      </c>
      <c r="AW122" s="177" t="str">
        <f ca="1">IF(AV122="","",Prioritering!G118)</f>
        <v/>
      </c>
    </row>
    <row r="123" spans="11:49" ht="15" customHeight="1" x14ac:dyDescent="0.25">
      <c r="K123" s="15"/>
      <c r="AL123" s="165" t="str">
        <f ca="1">IF(AM123="","",COUNT(AL$18:AL122)+1)</f>
        <v/>
      </c>
      <c r="AM123" s="165" t="str">
        <f ca="1">IF(Prioritering!K119&gt;=Forside!H$7,Prioritering!E119,"")</f>
        <v/>
      </c>
      <c r="AN123" s="165" t="str">
        <f ca="1">IF(AM123="","",Prioritering!G119)</f>
        <v/>
      </c>
      <c r="AO123" s="159" t="str">
        <f ca="1">IF(AP123="","",COUNT(AO$18:AO122)+1)</f>
        <v/>
      </c>
      <c r="AP123" s="172" t="str">
        <f ca="1">IF(Prioritering!K119&gt;=Forside!H$8,IF(Prioritering!K119&lt;H$7,Prioritering!E119,""),"")</f>
        <v/>
      </c>
      <c r="AQ123" s="159" t="str">
        <f ca="1">IF(AP123="","",Prioritering!G119)</f>
        <v/>
      </c>
      <c r="AR123" s="174" t="str">
        <f ca="1">IF(AS123="","",COUNT(AR$18:AR122)+1)</f>
        <v/>
      </c>
      <c r="AS123" s="174" t="str">
        <f ca="1">IF(Prioritering!K119&gt;=Forside!H$9,IF(Prioritering!K119&lt;H$8,Prioritering!E119,""),"")</f>
        <v/>
      </c>
      <c r="AT123" s="174" t="str">
        <f ca="1">IF(AS123="","",Prioritering!G119)</f>
        <v/>
      </c>
      <c r="AU123" s="177" t="str">
        <f ca="1">IF(AV123="","",COUNT(AU$18:AU122)+1)</f>
        <v/>
      </c>
      <c r="AV123" s="177" t="str">
        <f ca="1">IF(Prioritering!K119&lt;Forside!H$9,Prioritering!E119,"")</f>
        <v/>
      </c>
      <c r="AW123" s="177" t="str">
        <f ca="1">IF(AV123="","",Prioritering!G119)</f>
        <v/>
      </c>
    </row>
    <row r="124" spans="11:49" ht="15" customHeight="1" x14ac:dyDescent="0.25">
      <c r="K124" s="15"/>
      <c r="AL124" s="165" t="str">
        <f ca="1">IF(AM124="","",COUNT(AL$18:AL123)+1)</f>
        <v/>
      </c>
      <c r="AM124" s="165" t="str">
        <f ca="1">IF(Prioritering!K120&gt;=Forside!H$7,Prioritering!E120,"")</f>
        <v/>
      </c>
      <c r="AN124" s="165" t="str">
        <f ca="1">IF(AM124="","",Prioritering!G120)</f>
        <v/>
      </c>
      <c r="AO124" s="159" t="str">
        <f ca="1">IF(AP124="","",COUNT(AO$18:AO123)+1)</f>
        <v/>
      </c>
      <c r="AP124" s="172" t="str">
        <f ca="1">IF(Prioritering!K120&gt;=Forside!H$8,IF(Prioritering!K120&lt;H$7,Prioritering!E120,""),"")</f>
        <v/>
      </c>
      <c r="AQ124" s="159" t="str">
        <f ca="1">IF(AP124="","",Prioritering!G120)</f>
        <v/>
      </c>
      <c r="AR124" s="174" t="str">
        <f ca="1">IF(AS124="","",COUNT(AR$18:AR123)+1)</f>
        <v/>
      </c>
      <c r="AS124" s="174" t="str">
        <f ca="1">IF(Prioritering!K120&gt;=Forside!H$9,IF(Prioritering!K120&lt;H$8,Prioritering!E120,""),"")</f>
        <v/>
      </c>
      <c r="AT124" s="174" t="str">
        <f ca="1">IF(AS124="","",Prioritering!G120)</f>
        <v/>
      </c>
      <c r="AU124" s="177" t="str">
        <f ca="1">IF(AV124="","",COUNT(AU$18:AU123)+1)</f>
        <v/>
      </c>
      <c r="AV124" s="177" t="str">
        <f ca="1">IF(Prioritering!K120&lt;Forside!H$9,Prioritering!E120,"")</f>
        <v/>
      </c>
      <c r="AW124" s="177" t="str">
        <f ca="1">IF(AV124="","",Prioritering!G120)</f>
        <v/>
      </c>
    </row>
    <row r="125" spans="11:49" ht="15" customHeight="1" x14ac:dyDescent="0.25">
      <c r="K125" s="15"/>
      <c r="AL125" s="165" t="str">
        <f ca="1">IF(AM125="","",COUNT(AL$18:AL124)+1)</f>
        <v/>
      </c>
      <c r="AM125" s="165" t="str">
        <f ca="1">IF(Prioritering!K121&gt;=Forside!H$7,Prioritering!E121,"")</f>
        <v/>
      </c>
      <c r="AN125" s="165" t="str">
        <f ca="1">IF(AM125="","",Prioritering!G121)</f>
        <v/>
      </c>
      <c r="AO125" s="159" t="str">
        <f ca="1">IF(AP125="","",COUNT(AO$18:AO124)+1)</f>
        <v/>
      </c>
      <c r="AP125" s="172" t="str">
        <f ca="1">IF(Prioritering!K121&gt;=Forside!H$8,IF(Prioritering!K121&lt;H$7,Prioritering!E121,""),"")</f>
        <v/>
      </c>
      <c r="AQ125" s="159" t="str">
        <f ca="1">IF(AP125="","",Prioritering!G121)</f>
        <v/>
      </c>
      <c r="AR125" s="174" t="str">
        <f ca="1">IF(AS125="","",COUNT(AR$18:AR124)+1)</f>
        <v/>
      </c>
      <c r="AS125" s="174" t="str">
        <f ca="1">IF(Prioritering!K121&gt;=Forside!H$9,IF(Prioritering!K121&lt;H$8,Prioritering!E121,""),"")</f>
        <v/>
      </c>
      <c r="AT125" s="174" t="str">
        <f ca="1">IF(AS125="","",Prioritering!G121)</f>
        <v/>
      </c>
      <c r="AU125" s="177" t="str">
        <f ca="1">IF(AV125="","",COUNT(AU$18:AU124)+1)</f>
        <v/>
      </c>
      <c r="AV125" s="177" t="str">
        <f ca="1">IF(Prioritering!K121&lt;Forside!H$9,Prioritering!E121,"")</f>
        <v/>
      </c>
      <c r="AW125" s="177" t="str">
        <f ca="1">IF(AV125="","",Prioritering!G121)</f>
        <v/>
      </c>
    </row>
    <row r="126" spans="11:49" ht="15" customHeight="1" x14ac:dyDescent="0.25">
      <c r="K126" s="15"/>
      <c r="AL126" s="165" t="str">
        <f ca="1">IF(AM126="","",COUNT(AL$18:AL125)+1)</f>
        <v/>
      </c>
      <c r="AM126" s="165" t="str">
        <f ca="1">IF(Prioritering!K122&gt;=Forside!H$7,Prioritering!E122,"")</f>
        <v/>
      </c>
      <c r="AN126" s="165" t="str">
        <f ca="1">IF(AM126="","",Prioritering!G122)</f>
        <v/>
      </c>
      <c r="AO126" s="159" t="str">
        <f ca="1">IF(AP126="","",COUNT(AO$18:AO125)+1)</f>
        <v/>
      </c>
      <c r="AP126" s="172" t="str">
        <f ca="1">IF(Prioritering!K122&gt;=Forside!H$8,IF(Prioritering!K122&lt;H$7,Prioritering!E122,""),"")</f>
        <v/>
      </c>
      <c r="AQ126" s="159" t="str">
        <f ca="1">IF(AP126="","",Prioritering!G122)</f>
        <v/>
      </c>
      <c r="AR126" s="174" t="str">
        <f ca="1">IF(AS126="","",COUNT(AR$18:AR125)+1)</f>
        <v/>
      </c>
      <c r="AS126" s="174" t="str">
        <f ca="1">IF(Prioritering!K122&gt;=Forside!H$9,IF(Prioritering!K122&lt;H$8,Prioritering!E122,""),"")</f>
        <v/>
      </c>
      <c r="AT126" s="174" t="str">
        <f ca="1">IF(AS126="","",Prioritering!G122)</f>
        <v/>
      </c>
      <c r="AU126" s="177" t="str">
        <f ca="1">IF(AV126="","",COUNT(AU$18:AU125)+1)</f>
        <v/>
      </c>
      <c r="AV126" s="177" t="str">
        <f ca="1">IF(Prioritering!K122&lt;Forside!H$9,Prioritering!E122,"")</f>
        <v/>
      </c>
      <c r="AW126" s="177" t="str">
        <f ca="1">IF(AV126="","",Prioritering!G122)</f>
        <v/>
      </c>
    </row>
    <row r="127" spans="11:49" ht="15" customHeight="1" x14ac:dyDescent="0.25">
      <c r="K127" s="15"/>
      <c r="AL127" s="165" t="str">
        <f ca="1">IF(AM127="","",COUNT(AL$18:AL126)+1)</f>
        <v/>
      </c>
      <c r="AM127" s="165" t="str">
        <f ca="1">IF(Prioritering!K123&gt;=Forside!H$7,Prioritering!E123,"")</f>
        <v/>
      </c>
      <c r="AN127" s="165" t="str">
        <f ca="1">IF(AM127="","",Prioritering!G123)</f>
        <v/>
      </c>
      <c r="AO127" s="159" t="str">
        <f ca="1">IF(AP127="","",COUNT(AO$18:AO126)+1)</f>
        <v/>
      </c>
      <c r="AP127" s="172" t="str">
        <f ca="1">IF(Prioritering!K123&gt;=Forside!H$8,IF(Prioritering!K123&lt;H$7,Prioritering!E123,""),"")</f>
        <v/>
      </c>
      <c r="AQ127" s="159" t="str">
        <f ca="1">IF(AP127="","",Prioritering!G123)</f>
        <v/>
      </c>
      <c r="AR127" s="174" t="str">
        <f ca="1">IF(AS127="","",COUNT(AR$18:AR126)+1)</f>
        <v/>
      </c>
      <c r="AS127" s="174" t="str">
        <f ca="1">IF(Prioritering!K123&gt;=Forside!H$9,IF(Prioritering!K123&lt;H$8,Prioritering!E123,""),"")</f>
        <v/>
      </c>
      <c r="AT127" s="174" t="str">
        <f ca="1">IF(AS127="","",Prioritering!G123)</f>
        <v/>
      </c>
      <c r="AU127" s="177" t="str">
        <f ca="1">IF(AV127="","",COUNT(AU$18:AU126)+1)</f>
        <v/>
      </c>
      <c r="AV127" s="177" t="str">
        <f ca="1">IF(Prioritering!K123&lt;Forside!H$9,Prioritering!E123,"")</f>
        <v/>
      </c>
      <c r="AW127" s="177" t="str">
        <f ca="1">IF(AV127="","",Prioritering!G123)</f>
        <v/>
      </c>
    </row>
    <row r="128" spans="11:49" ht="15" customHeight="1" x14ac:dyDescent="0.25">
      <c r="K128" s="15"/>
      <c r="AL128" s="165" t="str">
        <f ca="1">IF(AM128="","",COUNT(AL$18:AL127)+1)</f>
        <v/>
      </c>
      <c r="AM128" s="165" t="str">
        <f ca="1">IF(Prioritering!K124&gt;=Forside!H$7,Prioritering!E124,"")</f>
        <v/>
      </c>
      <c r="AN128" s="165" t="str">
        <f ca="1">IF(AM128="","",Prioritering!G124)</f>
        <v/>
      </c>
      <c r="AO128" s="159" t="str">
        <f ca="1">IF(AP128="","",COUNT(AO$18:AO127)+1)</f>
        <v/>
      </c>
      <c r="AP128" s="172" t="str">
        <f ca="1">IF(Prioritering!K124&gt;=Forside!H$8,IF(Prioritering!K124&lt;H$7,Prioritering!E124,""),"")</f>
        <v/>
      </c>
      <c r="AQ128" s="159" t="str">
        <f ca="1">IF(AP128="","",Prioritering!G124)</f>
        <v/>
      </c>
      <c r="AR128" s="174" t="str">
        <f ca="1">IF(AS128="","",COUNT(AR$18:AR127)+1)</f>
        <v/>
      </c>
      <c r="AS128" s="174" t="str">
        <f ca="1">IF(Prioritering!K124&gt;=Forside!H$9,IF(Prioritering!K124&lt;H$8,Prioritering!E124,""),"")</f>
        <v/>
      </c>
      <c r="AT128" s="174" t="str">
        <f ca="1">IF(AS128="","",Prioritering!G124)</f>
        <v/>
      </c>
      <c r="AU128" s="177" t="str">
        <f ca="1">IF(AV128="","",COUNT(AU$18:AU127)+1)</f>
        <v/>
      </c>
      <c r="AV128" s="177" t="str">
        <f ca="1">IF(Prioritering!K124&lt;Forside!H$9,Prioritering!E124,"")</f>
        <v/>
      </c>
      <c r="AW128" s="177" t="str">
        <f ca="1">IF(AV128="","",Prioritering!G124)</f>
        <v/>
      </c>
    </row>
    <row r="129" spans="11:49" ht="15" customHeight="1" x14ac:dyDescent="0.25">
      <c r="K129" s="15"/>
      <c r="AL129" s="165" t="str">
        <f ca="1">IF(AM129="","",COUNT(AL$18:AL128)+1)</f>
        <v/>
      </c>
      <c r="AM129" s="165" t="str">
        <f ca="1">IF(Prioritering!K125&gt;=Forside!H$7,Prioritering!E125,"")</f>
        <v/>
      </c>
      <c r="AN129" s="165" t="str">
        <f ca="1">IF(AM129="","",Prioritering!G125)</f>
        <v/>
      </c>
      <c r="AO129" s="159" t="str">
        <f ca="1">IF(AP129="","",COUNT(AO$18:AO128)+1)</f>
        <v/>
      </c>
      <c r="AP129" s="172" t="str">
        <f ca="1">IF(Prioritering!K125&gt;=Forside!H$8,IF(Prioritering!K125&lt;H$7,Prioritering!E125,""),"")</f>
        <v/>
      </c>
      <c r="AQ129" s="159" t="str">
        <f ca="1">IF(AP129="","",Prioritering!G125)</f>
        <v/>
      </c>
      <c r="AR129" s="174" t="str">
        <f ca="1">IF(AS129="","",COUNT(AR$18:AR128)+1)</f>
        <v/>
      </c>
      <c r="AS129" s="174" t="str">
        <f ca="1">IF(Prioritering!K125&gt;=Forside!H$9,IF(Prioritering!K125&lt;H$8,Prioritering!E125,""),"")</f>
        <v/>
      </c>
      <c r="AT129" s="174" t="str">
        <f ca="1">IF(AS129="","",Prioritering!G125)</f>
        <v/>
      </c>
      <c r="AU129" s="177" t="str">
        <f ca="1">IF(AV129="","",COUNT(AU$18:AU128)+1)</f>
        <v/>
      </c>
      <c r="AV129" s="177" t="str">
        <f ca="1">IF(Prioritering!K125&lt;Forside!H$9,Prioritering!E125,"")</f>
        <v/>
      </c>
      <c r="AW129" s="177" t="str">
        <f ca="1">IF(AV129="","",Prioritering!G125)</f>
        <v/>
      </c>
    </row>
    <row r="130" spans="11:49" ht="15" customHeight="1" x14ac:dyDescent="0.25">
      <c r="K130" s="15"/>
      <c r="AL130" s="165" t="str">
        <f ca="1">IF(AM130="","",COUNT(AL$18:AL129)+1)</f>
        <v/>
      </c>
      <c r="AM130" s="165" t="str">
        <f ca="1">IF(Prioritering!K126&gt;=Forside!H$7,Prioritering!E126,"")</f>
        <v/>
      </c>
      <c r="AN130" s="165" t="str">
        <f ca="1">IF(AM130="","",Prioritering!G126)</f>
        <v/>
      </c>
      <c r="AO130" s="159" t="str">
        <f ca="1">IF(AP130="","",COUNT(AO$18:AO129)+1)</f>
        <v/>
      </c>
      <c r="AP130" s="172" t="str">
        <f ca="1">IF(Prioritering!K126&gt;=Forside!H$8,IF(Prioritering!K126&lt;H$7,Prioritering!E126,""),"")</f>
        <v/>
      </c>
      <c r="AQ130" s="159" t="str">
        <f ca="1">IF(AP130="","",Prioritering!G126)</f>
        <v/>
      </c>
      <c r="AR130" s="174" t="str">
        <f ca="1">IF(AS130="","",COUNT(AR$18:AR129)+1)</f>
        <v/>
      </c>
      <c r="AS130" s="174" t="str">
        <f ca="1">IF(Prioritering!K126&gt;=Forside!H$9,IF(Prioritering!K126&lt;H$8,Prioritering!E126,""),"")</f>
        <v/>
      </c>
      <c r="AT130" s="174" t="str">
        <f ca="1">IF(AS130="","",Prioritering!G126)</f>
        <v/>
      </c>
      <c r="AU130" s="177" t="str">
        <f ca="1">IF(AV130="","",COUNT(AU$18:AU129)+1)</f>
        <v/>
      </c>
      <c r="AV130" s="177" t="str">
        <f ca="1">IF(Prioritering!K126&lt;Forside!H$9,Prioritering!E126,"")</f>
        <v/>
      </c>
      <c r="AW130" s="177" t="str">
        <f ca="1">IF(AV130="","",Prioritering!G126)</f>
        <v/>
      </c>
    </row>
    <row r="131" spans="11:49" ht="15" customHeight="1" x14ac:dyDescent="0.25">
      <c r="K131" s="15"/>
      <c r="AL131" s="165" t="str">
        <f ca="1">IF(AM131="","",COUNT(AL$18:AL130)+1)</f>
        <v/>
      </c>
      <c r="AM131" s="165" t="str">
        <f ca="1">IF(Prioritering!K127&gt;=Forside!H$7,Prioritering!E127,"")</f>
        <v/>
      </c>
      <c r="AN131" s="165" t="str">
        <f ca="1">IF(AM131="","",Prioritering!G127)</f>
        <v/>
      </c>
      <c r="AO131" s="159" t="str">
        <f ca="1">IF(AP131="","",COUNT(AO$18:AO130)+1)</f>
        <v/>
      </c>
      <c r="AP131" s="172" t="str">
        <f ca="1">IF(Prioritering!K127&gt;=Forside!H$8,IF(Prioritering!K127&lt;H$7,Prioritering!E127,""),"")</f>
        <v/>
      </c>
      <c r="AQ131" s="159" t="str">
        <f ca="1">IF(AP131="","",Prioritering!G127)</f>
        <v/>
      </c>
      <c r="AR131" s="174" t="str">
        <f ca="1">IF(AS131="","",COUNT(AR$18:AR130)+1)</f>
        <v/>
      </c>
      <c r="AS131" s="174" t="str">
        <f ca="1">IF(Prioritering!K127&gt;=Forside!H$9,IF(Prioritering!K127&lt;H$8,Prioritering!E127,""),"")</f>
        <v/>
      </c>
      <c r="AT131" s="174" t="str">
        <f ca="1">IF(AS131="","",Prioritering!G127)</f>
        <v/>
      </c>
      <c r="AU131" s="177" t="str">
        <f ca="1">IF(AV131="","",COUNT(AU$18:AU130)+1)</f>
        <v/>
      </c>
      <c r="AV131" s="177" t="str">
        <f ca="1">IF(Prioritering!K127&lt;Forside!H$9,Prioritering!E127,"")</f>
        <v/>
      </c>
      <c r="AW131" s="177" t="str">
        <f ca="1">IF(AV131="","",Prioritering!G127)</f>
        <v/>
      </c>
    </row>
    <row r="132" spans="11:49" ht="15" customHeight="1" x14ac:dyDescent="0.25">
      <c r="K132" s="15"/>
      <c r="AL132" s="165" t="str">
        <f ca="1">IF(AM132="","",COUNT(AL$18:AL131)+1)</f>
        <v/>
      </c>
      <c r="AM132" s="165" t="str">
        <f ca="1">IF(Prioritering!K128&gt;=Forside!H$7,Prioritering!E128,"")</f>
        <v/>
      </c>
      <c r="AN132" s="165" t="str">
        <f ca="1">IF(AM132="","",Prioritering!G128)</f>
        <v/>
      </c>
      <c r="AO132" s="159" t="str">
        <f ca="1">IF(AP132="","",COUNT(AO$18:AO131)+1)</f>
        <v/>
      </c>
      <c r="AP132" s="172" t="str">
        <f ca="1">IF(Prioritering!K128&gt;=Forside!H$8,IF(Prioritering!K128&lt;H$7,Prioritering!E128,""),"")</f>
        <v/>
      </c>
      <c r="AQ132" s="159" t="str">
        <f ca="1">IF(AP132="","",Prioritering!G128)</f>
        <v/>
      </c>
      <c r="AR132" s="174" t="str">
        <f ca="1">IF(AS132="","",COUNT(AR$18:AR131)+1)</f>
        <v/>
      </c>
      <c r="AS132" s="174" t="str">
        <f ca="1">IF(Prioritering!K128&gt;=Forside!H$9,IF(Prioritering!K128&lt;H$8,Prioritering!E128,""),"")</f>
        <v/>
      </c>
      <c r="AT132" s="174" t="str">
        <f ca="1">IF(AS132="","",Prioritering!G128)</f>
        <v/>
      </c>
      <c r="AU132" s="177" t="str">
        <f ca="1">IF(AV132="","",COUNT(AU$18:AU131)+1)</f>
        <v/>
      </c>
      <c r="AV132" s="177" t="str">
        <f ca="1">IF(Prioritering!K128&lt;Forside!H$9,Prioritering!E128,"")</f>
        <v/>
      </c>
      <c r="AW132" s="177" t="str">
        <f ca="1">IF(AV132="","",Prioritering!G128)</f>
        <v/>
      </c>
    </row>
    <row r="133" spans="11:49" ht="15" customHeight="1" x14ac:dyDescent="0.25">
      <c r="K133" s="15"/>
      <c r="AL133" s="165" t="str">
        <f ca="1">IF(AM133="","",COUNT(AL$18:AL132)+1)</f>
        <v/>
      </c>
      <c r="AM133" s="165" t="str">
        <f ca="1">IF(Prioritering!K129&gt;=Forside!H$7,Prioritering!E129,"")</f>
        <v/>
      </c>
      <c r="AN133" s="165" t="str">
        <f ca="1">IF(AM133="","",Prioritering!G129)</f>
        <v/>
      </c>
      <c r="AO133" s="159" t="str">
        <f ca="1">IF(AP133="","",COUNT(AO$18:AO132)+1)</f>
        <v/>
      </c>
      <c r="AP133" s="172" t="str">
        <f ca="1">IF(Prioritering!K129&gt;=Forside!H$8,IF(Prioritering!K129&lt;H$7,Prioritering!E129,""),"")</f>
        <v/>
      </c>
      <c r="AQ133" s="159" t="str">
        <f ca="1">IF(AP133="","",Prioritering!G129)</f>
        <v/>
      </c>
      <c r="AR133" s="174" t="str">
        <f ca="1">IF(AS133="","",COUNT(AR$18:AR132)+1)</f>
        <v/>
      </c>
      <c r="AS133" s="174" t="str">
        <f ca="1">IF(Prioritering!K129&gt;=Forside!H$9,IF(Prioritering!K129&lt;H$8,Prioritering!E129,""),"")</f>
        <v/>
      </c>
      <c r="AT133" s="174" t="str">
        <f ca="1">IF(AS133="","",Prioritering!G129)</f>
        <v/>
      </c>
      <c r="AU133" s="177" t="str">
        <f ca="1">IF(AV133="","",COUNT(AU$18:AU132)+1)</f>
        <v/>
      </c>
      <c r="AV133" s="177" t="str">
        <f ca="1">IF(Prioritering!K129&lt;Forside!H$9,Prioritering!E129,"")</f>
        <v/>
      </c>
      <c r="AW133" s="177" t="str">
        <f ca="1">IF(AV133="","",Prioritering!G129)</f>
        <v/>
      </c>
    </row>
    <row r="134" spans="11:49" ht="15" customHeight="1" x14ac:dyDescent="0.25">
      <c r="K134" s="15"/>
      <c r="AL134" s="165" t="str">
        <f ca="1">IF(AM134="","",COUNT(AL$18:AL133)+1)</f>
        <v/>
      </c>
      <c r="AM134" s="165" t="str">
        <f ca="1">IF(Prioritering!K130&gt;=Forside!H$7,Prioritering!E130,"")</f>
        <v/>
      </c>
      <c r="AN134" s="165" t="str">
        <f ca="1">IF(AM134="","",Prioritering!G130)</f>
        <v/>
      </c>
      <c r="AO134" s="159" t="str">
        <f ca="1">IF(AP134="","",COUNT(AO$18:AO133)+1)</f>
        <v/>
      </c>
      <c r="AP134" s="172" t="str">
        <f ca="1">IF(Prioritering!K130&gt;=Forside!H$8,IF(Prioritering!K130&lt;H$7,Prioritering!E130,""),"")</f>
        <v/>
      </c>
      <c r="AQ134" s="159" t="str">
        <f ca="1">IF(AP134="","",Prioritering!G130)</f>
        <v/>
      </c>
      <c r="AR134" s="174" t="str">
        <f ca="1">IF(AS134="","",COUNT(AR$18:AR133)+1)</f>
        <v/>
      </c>
      <c r="AS134" s="174" t="str">
        <f ca="1">IF(Prioritering!K130&gt;=Forside!H$9,IF(Prioritering!K130&lt;H$8,Prioritering!E130,""),"")</f>
        <v/>
      </c>
      <c r="AT134" s="174" t="str">
        <f ca="1">IF(AS134="","",Prioritering!G130)</f>
        <v/>
      </c>
      <c r="AU134" s="177" t="str">
        <f ca="1">IF(AV134="","",COUNT(AU$18:AU133)+1)</f>
        <v/>
      </c>
      <c r="AV134" s="177" t="str">
        <f ca="1">IF(Prioritering!K130&lt;Forside!H$9,Prioritering!E130,"")</f>
        <v/>
      </c>
      <c r="AW134" s="177" t="str">
        <f ca="1">IF(AV134="","",Prioritering!G130)</f>
        <v/>
      </c>
    </row>
    <row r="135" spans="11:49" ht="15" customHeight="1" x14ac:dyDescent="0.25">
      <c r="K135" s="15"/>
      <c r="AL135" s="165" t="str">
        <f ca="1">IF(AM135="","",COUNT(AL$18:AL134)+1)</f>
        <v/>
      </c>
      <c r="AM135" s="165" t="str">
        <f ca="1">IF(Prioritering!K131&gt;=Forside!H$7,Prioritering!E131,"")</f>
        <v/>
      </c>
      <c r="AN135" s="165" t="str">
        <f ca="1">IF(AM135="","",Prioritering!G131)</f>
        <v/>
      </c>
      <c r="AO135" s="159" t="str">
        <f ca="1">IF(AP135="","",COUNT(AO$18:AO134)+1)</f>
        <v/>
      </c>
      <c r="AP135" s="172" t="str">
        <f ca="1">IF(Prioritering!K131&gt;=Forside!H$8,IF(Prioritering!K131&lt;H$7,Prioritering!E131,""),"")</f>
        <v/>
      </c>
      <c r="AQ135" s="159" t="str">
        <f ca="1">IF(AP135="","",Prioritering!G131)</f>
        <v/>
      </c>
      <c r="AR135" s="174" t="str">
        <f ca="1">IF(AS135="","",COUNT(AR$18:AR134)+1)</f>
        <v/>
      </c>
      <c r="AS135" s="174" t="str">
        <f ca="1">IF(Prioritering!K131&gt;=Forside!H$9,IF(Prioritering!K131&lt;H$8,Prioritering!E131,""),"")</f>
        <v/>
      </c>
      <c r="AT135" s="174" t="str">
        <f ca="1">IF(AS135="","",Prioritering!G131)</f>
        <v/>
      </c>
      <c r="AU135" s="177" t="str">
        <f ca="1">IF(AV135="","",COUNT(AU$18:AU134)+1)</f>
        <v/>
      </c>
      <c r="AV135" s="177" t="str">
        <f ca="1">IF(Prioritering!K131&lt;Forside!H$9,Prioritering!E131,"")</f>
        <v/>
      </c>
      <c r="AW135" s="177" t="str">
        <f ca="1">IF(AV135="","",Prioritering!G131)</f>
        <v/>
      </c>
    </row>
    <row r="136" spans="11:49" ht="15" customHeight="1" x14ac:dyDescent="0.25">
      <c r="K136" s="15"/>
      <c r="AL136" s="165" t="str">
        <f ca="1">IF(AM136="","",COUNT(AL$18:AL135)+1)</f>
        <v/>
      </c>
      <c r="AM136" s="165" t="str">
        <f ca="1">IF(Prioritering!K132&gt;=Forside!H$7,Prioritering!E132,"")</f>
        <v/>
      </c>
      <c r="AN136" s="165" t="str">
        <f ca="1">IF(AM136="","",Prioritering!G132)</f>
        <v/>
      </c>
      <c r="AO136" s="159" t="str">
        <f ca="1">IF(AP136="","",COUNT(AO$18:AO135)+1)</f>
        <v/>
      </c>
      <c r="AP136" s="172" t="str">
        <f ca="1">IF(Prioritering!K132&gt;=Forside!H$8,IF(Prioritering!K132&lt;H$7,Prioritering!E132,""),"")</f>
        <v/>
      </c>
      <c r="AQ136" s="159" t="str">
        <f ca="1">IF(AP136="","",Prioritering!G132)</f>
        <v/>
      </c>
      <c r="AR136" s="174" t="str">
        <f ca="1">IF(AS136="","",COUNT(AR$18:AR135)+1)</f>
        <v/>
      </c>
      <c r="AS136" s="174" t="str">
        <f ca="1">IF(Prioritering!K132&gt;=Forside!H$9,IF(Prioritering!K132&lt;H$8,Prioritering!E132,""),"")</f>
        <v/>
      </c>
      <c r="AT136" s="174" t="str">
        <f ca="1">IF(AS136="","",Prioritering!G132)</f>
        <v/>
      </c>
      <c r="AU136" s="177" t="str">
        <f ca="1">IF(AV136="","",COUNT(AU$18:AU135)+1)</f>
        <v/>
      </c>
      <c r="AV136" s="177" t="str">
        <f ca="1">IF(Prioritering!K132&lt;Forside!H$9,Prioritering!E132,"")</f>
        <v/>
      </c>
      <c r="AW136" s="177" t="str">
        <f ca="1">IF(AV136="","",Prioritering!G132)</f>
        <v/>
      </c>
    </row>
    <row r="137" spans="11:49" ht="15" customHeight="1" x14ac:dyDescent="0.25">
      <c r="K137" s="15"/>
      <c r="AL137" s="165" t="str">
        <f ca="1">IF(AM137="","",COUNT(AL$18:AL136)+1)</f>
        <v/>
      </c>
      <c r="AM137" s="165" t="str">
        <f ca="1">IF(Prioritering!K133&gt;=Forside!H$7,Prioritering!E133,"")</f>
        <v/>
      </c>
      <c r="AN137" s="165" t="str">
        <f ca="1">IF(AM137="","",Prioritering!G133)</f>
        <v/>
      </c>
      <c r="AO137" s="159" t="str">
        <f ca="1">IF(AP137="","",COUNT(AO$18:AO136)+1)</f>
        <v/>
      </c>
      <c r="AP137" s="172" t="str">
        <f ca="1">IF(Prioritering!K133&gt;=Forside!H$8,IF(Prioritering!K133&lt;H$7,Prioritering!E133,""),"")</f>
        <v/>
      </c>
      <c r="AQ137" s="159" t="str">
        <f ca="1">IF(AP137="","",Prioritering!G133)</f>
        <v/>
      </c>
      <c r="AR137" s="174" t="str">
        <f ca="1">IF(AS137="","",COUNT(AR$18:AR136)+1)</f>
        <v/>
      </c>
      <c r="AS137" s="174" t="str">
        <f ca="1">IF(Prioritering!K133&gt;=Forside!H$9,IF(Prioritering!K133&lt;H$8,Prioritering!E133,""),"")</f>
        <v/>
      </c>
      <c r="AT137" s="174" t="str">
        <f ca="1">IF(AS137="","",Prioritering!G133)</f>
        <v/>
      </c>
      <c r="AU137" s="177" t="str">
        <f ca="1">IF(AV137="","",COUNT(AU$18:AU136)+1)</f>
        <v/>
      </c>
      <c r="AV137" s="177" t="str">
        <f ca="1">IF(Prioritering!K133&lt;Forside!H$9,Prioritering!E133,"")</f>
        <v/>
      </c>
      <c r="AW137" s="177" t="str">
        <f ca="1">IF(AV137="","",Prioritering!G133)</f>
        <v/>
      </c>
    </row>
    <row r="138" spans="11:49" ht="15" customHeight="1" x14ac:dyDescent="0.25">
      <c r="K138" s="15"/>
      <c r="AL138" s="165" t="str">
        <f ca="1">IF(AM138="","",COUNT(AL$18:AL137)+1)</f>
        <v/>
      </c>
      <c r="AM138" s="165" t="str">
        <f ca="1">IF(Prioritering!K134&gt;=Forside!H$7,Prioritering!E134,"")</f>
        <v/>
      </c>
      <c r="AN138" s="165" t="str">
        <f ca="1">IF(AM138="","",Prioritering!G134)</f>
        <v/>
      </c>
      <c r="AO138" s="159" t="str">
        <f ca="1">IF(AP138="","",COUNT(AO$18:AO137)+1)</f>
        <v/>
      </c>
      <c r="AP138" s="172" t="str">
        <f ca="1">IF(Prioritering!K134&gt;=Forside!H$8,IF(Prioritering!K134&lt;H$7,Prioritering!E134,""),"")</f>
        <v/>
      </c>
      <c r="AQ138" s="159" t="str">
        <f ca="1">IF(AP138="","",Prioritering!G134)</f>
        <v/>
      </c>
      <c r="AR138" s="174" t="str">
        <f ca="1">IF(AS138="","",COUNT(AR$18:AR137)+1)</f>
        <v/>
      </c>
      <c r="AS138" s="174" t="str">
        <f ca="1">IF(Prioritering!K134&gt;=Forside!H$9,IF(Prioritering!K134&lt;H$8,Prioritering!E134,""),"")</f>
        <v/>
      </c>
      <c r="AT138" s="174" t="str">
        <f ca="1">IF(AS138="","",Prioritering!G134)</f>
        <v/>
      </c>
      <c r="AU138" s="177" t="str">
        <f ca="1">IF(AV138="","",COUNT(AU$18:AU137)+1)</f>
        <v/>
      </c>
      <c r="AV138" s="177" t="str">
        <f ca="1">IF(Prioritering!K134&lt;Forside!H$9,Prioritering!E134,"")</f>
        <v/>
      </c>
      <c r="AW138" s="177" t="str">
        <f ca="1">IF(AV138="","",Prioritering!G134)</f>
        <v/>
      </c>
    </row>
    <row r="139" spans="11:49" ht="15" customHeight="1" x14ac:dyDescent="0.25">
      <c r="K139" s="15"/>
      <c r="AL139" s="165" t="str">
        <f ca="1">IF(AM139="","",COUNT(AL$18:AL138)+1)</f>
        <v/>
      </c>
      <c r="AM139" s="165" t="str">
        <f ca="1">IF(Prioritering!K135&gt;=Forside!H$7,Prioritering!E135,"")</f>
        <v/>
      </c>
      <c r="AN139" s="165" t="str">
        <f ca="1">IF(AM139="","",Prioritering!G135)</f>
        <v/>
      </c>
      <c r="AO139" s="159" t="str">
        <f ca="1">IF(AP139="","",COUNT(AO$18:AO138)+1)</f>
        <v/>
      </c>
      <c r="AP139" s="172" t="str">
        <f ca="1">IF(Prioritering!K135&gt;=Forside!H$8,IF(Prioritering!K135&lt;H$7,Prioritering!E135,""),"")</f>
        <v/>
      </c>
      <c r="AQ139" s="159" t="str">
        <f ca="1">IF(AP139="","",Prioritering!G135)</f>
        <v/>
      </c>
      <c r="AR139" s="174" t="str">
        <f ca="1">IF(AS139="","",COUNT(AR$18:AR138)+1)</f>
        <v/>
      </c>
      <c r="AS139" s="174" t="str">
        <f ca="1">IF(Prioritering!K135&gt;=Forside!H$9,IF(Prioritering!K135&lt;H$8,Prioritering!E135,""),"")</f>
        <v/>
      </c>
      <c r="AT139" s="174" t="str">
        <f ca="1">IF(AS139="","",Prioritering!G135)</f>
        <v/>
      </c>
      <c r="AU139" s="177" t="str">
        <f ca="1">IF(AV139="","",COUNT(AU$18:AU138)+1)</f>
        <v/>
      </c>
      <c r="AV139" s="177" t="str">
        <f ca="1">IF(Prioritering!K135&lt;Forside!H$9,Prioritering!E135,"")</f>
        <v/>
      </c>
      <c r="AW139" s="177" t="str">
        <f ca="1">IF(AV139="","",Prioritering!G135)</f>
        <v/>
      </c>
    </row>
    <row r="140" spans="11:49" ht="15" customHeight="1" x14ac:dyDescent="0.25">
      <c r="K140" s="15"/>
      <c r="AL140" s="165" t="str">
        <f ca="1">IF(AM140="","",COUNT(AL$18:AL139)+1)</f>
        <v/>
      </c>
      <c r="AM140" s="165" t="str">
        <f ca="1">IF(Prioritering!K136&gt;=Forside!H$7,Prioritering!E136,"")</f>
        <v/>
      </c>
      <c r="AN140" s="165" t="str">
        <f ca="1">IF(AM140="","",Prioritering!G136)</f>
        <v/>
      </c>
      <c r="AO140" s="159" t="str">
        <f ca="1">IF(AP140="","",COUNT(AO$18:AO139)+1)</f>
        <v/>
      </c>
      <c r="AP140" s="172" t="str">
        <f ca="1">IF(Prioritering!K136&gt;=Forside!H$8,IF(Prioritering!K136&lt;H$7,Prioritering!E136,""),"")</f>
        <v/>
      </c>
      <c r="AQ140" s="159" t="str">
        <f ca="1">IF(AP140="","",Prioritering!G136)</f>
        <v/>
      </c>
      <c r="AR140" s="174" t="str">
        <f ca="1">IF(AS140="","",COUNT(AR$18:AR139)+1)</f>
        <v/>
      </c>
      <c r="AS140" s="174" t="str">
        <f ca="1">IF(Prioritering!K136&gt;=Forside!H$9,IF(Prioritering!K136&lt;H$8,Prioritering!E136,""),"")</f>
        <v/>
      </c>
      <c r="AT140" s="174" t="str">
        <f ca="1">IF(AS140="","",Prioritering!G136)</f>
        <v/>
      </c>
      <c r="AU140" s="177" t="str">
        <f ca="1">IF(AV140="","",COUNT(AU$18:AU139)+1)</f>
        <v/>
      </c>
      <c r="AV140" s="177" t="str">
        <f ca="1">IF(Prioritering!K136&lt;Forside!H$9,Prioritering!E136,"")</f>
        <v/>
      </c>
      <c r="AW140" s="177" t="str">
        <f ca="1">IF(AV140="","",Prioritering!G136)</f>
        <v/>
      </c>
    </row>
    <row r="141" spans="11:49" ht="15" customHeight="1" x14ac:dyDescent="0.25">
      <c r="K141" s="15"/>
      <c r="AL141" s="165" t="str">
        <f ca="1">IF(AM141="","",COUNT(AL$18:AL140)+1)</f>
        <v/>
      </c>
      <c r="AM141" s="165" t="str">
        <f ca="1">IF(Prioritering!K137&gt;=Forside!H$7,Prioritering!E137,"")</f>
        <v/>
      </c>
      <c r="AN141" s="165" t="str">
        <f ca="1">IF(AM141="","",Prioritering!G137)</f>
        <v/>
      </c>
      <c r="AO141" s="159" t="str">
        <f ca="1">IF(AP141="","",COUNT(AO$18:AO140)+1)</f>
        <v/>
      </c>
      <c r="AP141" s="172" t="str">
        <f ca="1">IF(Prioritering!K137&gt;=Forside!H$8,IF(Prioritering!K137&lt;H$7,Prioritering!E137,""),"")</f>
        <v/>
      </c>
      <c r="AQ141" s="159" t="str">
        <f ca="1">IF(AP141="","",Prioritering!G137)</f>
        <v/>
      </c>
      <c r="AR141" s="174" t="str">
        <f ca="1">IF(AS141="","",COUNT(AR$18:AR140)+1)</f>
        <v/>
      </c>
      <c r="AS141" s="174" t="str">
        <f ca="1">IF(Prioritering!K137&gt;=Forside!H$9,IF(Prioritering!K137&lt;H$8,Prioritering!E137,""),"")</f>
        <v/>
      </c>
      <c r="AT141" s="174" t="str">
        <f ca="1">IF(AS141="","",Prioritering!G137)</f>
        <v/>
      </c>
      <c r="AU141" s="177" t="str">
        <f ca="1">IF(AV141="","",COUNT(AU$18:AU140)+1)</f>
        <v/>
      </c>
      <c r="AV141" s="177" t="str">
        <f ca="1">IF(Prioritering!K137&lt;Forside!H$9,Prioritering!E137,"")</f>
        <v/>
      </c>
      <c r="AW141" s="177" t="str">
        <f ca="1">IF(AV141="","",Prioritering!G137)</f>
        <v/>
      </c>
    </row>
    <row r="142" spans="11:49" ht="15" customHeight="1" x14ac:dyDescent="0.25">
      <c r="K142" s="15"/>
      <c r="AL142" s="165" t="str">
        <f ca="1">IF(AM142="","",COUNT(AL$18:AL141)+1)</f>
        <v/>
      </c>
      <c r="AM142" s="165" t="str">
        <f ca="1">IF(Prioritering!K138&gt;=Forside!H$7,Prioritering!E138,"")</f>
        <v/>
      </c>
      <c r="AN142" s="165" t="str">
        <f ca="1">IF(AM142="","",Prioritering!G138)</f>
        <v/>
      </c>
      <c r="AO142" s="159" t="str">
        <f ca="1">IF(AP142="","",COUNT(AO$18:AO141)+1)</f>
        <v/>
      </c>
      <c r="AP142" s="172" t="str">
        <f ca="1">IF(Prioritering!K138&gt;=Forside!H$8,IF(Prioritering!K138&lt;H$7,Prioritering!E138,""),"")</f>
        <v/>
      </c>
      <c r="AQ142" s="159" t="str">
        <f ca="1">IF(AP142="","",Prioritering!G138)</f>
        <v/>
      </c>
      <c r="AR142" s="174" t="str">
        <f ca="1">IF(AS142="","",COUNT(AR$18:AR141)+1)</f>
        <v/>
      </c>
      <c r="AS142" s="174" t="str">
        <f ca="1">IF(Prioritering!K138&gt;=Forside!H$9,IF(Prioritering!K138&lt;H$8,Prioritering!E138,""),"")</f>
        <v/>
      </c>
      <c r="AT142" s="174" t="str">
        <f ca="1">IF(AS142="","",Prioritering!G138)</f>
        <v/>
      </c>
      <c r="AU142" s="177" t="str">
        <f ca="1">IF(AV142="","",COUNT(AU$18:AU141)+1)</f>
        <v/>
      </c>
      <c r="AV142" s="177" t="str">
        <f ca="1">IF(Prioritering!K138&lt;Forside!H$9,Prioritering!E138,"")</f>
        <v/>
      </c>
      <c r="AW142" s="177" t="str">
        <f ca="1">IF(AV142="","",Prioritering!G138)</f>
        <v/>
      </c>
    </row>
    <row r="143" spans="11:49" ht="15" customHeight="1" x14ac:dyDescent="0.25">
      <c r="K143" s="15"/>
      <c r="AL143" s="165" t="str">
        <f ca="1">IF(AM143="","",COUNT(AL$18:AL142)+1)</f>
        <v/>
      </c>
      <c r="AM143" s="165" t="str">
        <f ca="1">IF(Prioritering!K139&gt;=Forside!H$7,Prioritering!E139,"")</f>
        <v/>
      </c>
      <c r="AN143" s="165" t="str">
        <f ca="1">IF(AM143="","",Prioritering!G139)</f>
        <v/>
      </c>
      <c r="AO143" s="159" t="str">
        <f ca="1">IF(AP143="","",COUNT(AO$18:AO142)+1)</f>
        <v/>
      </c>
      <c r="AP143" s="172" t="str">
        <f ca="1">IF(Prioritering!K139&gt;=Forside!H$8,IF(Prioritering!K139&lt;H$7,Prioritering!E139,""),"")</f>
        <v/>
      </c>
      <c r="AQ143" s="159" t="str">
        <f ca="1">IF(AP143="","",Prioritering!G139)</f>
        <v/>
      </c>
      <c r="AR143" s="174" t="str">
        <f ca="1">IF(AS143="","",COUNT(AR$18:AR142)+1)</f>
        <v/>
      </c>
      <c r="AS143" s="174" t="str">
        <f ca="1">IF(Prioritering!K139&gt;=Forside!H$9,IF(Prioritering!K139&lt;H$8,Prioritering!E139,""),"")</f>
        <v/>
      </c>
      <c r="AT143" s="174" t="str">
        <f ca="1">IF(AS143="","",Prioritering!G139)</f>
        <v/>
      </c>
      <c r="AU143" s="177" t="str">
        <f ca="1">IF(AV143="","",COUNT(AU$18:AU142)+1)</f>
        <v/>
      </c>
      <c r="AV143" s="177" t="str">
        <f ca="1">IF(Prioritering!K139&lt;Forside!H$9,Prioritering!E139,"")</f>
        <v/>
      </c>
      <c r="AW143" s="177" t="str">
        <f ca="1">IF(AV143="","",Prioritering!G139)</f>
        <v/>
      </c>
    </row>
    <row r="144" spans="11:49" ht="15" customHeight="1" x14ac:dyDescent="0.25">
      <c r="K144" s="15"/>
      <c r="AL144" s="165" t="str">
        <f ca="1">IF(AM144="","",COUNT(AL$18:AL143)+1)</f>
        <v/>
      </c>
      <c r="AM144" s="165" t="str">
        <f ca="1">IF(Prioritering!K140&gt;=Forside!H$7,Prioritering!E140,"")</f>
        <v/>
      </c>
      <c r="AN144" s="165" t="str">
        <f ca="1">IF(AM144="","",Prioritering!G140)</f>
        <v/>
      </c>
      <c r="AO144" s="159" t="str">
        <f ca="1">IF(AP144="","",COUNT(AO$18:AO143)+1)</f>
        <v/>
      </c>
      <c r="AP144" s="172" t="str">
        <f ca="1">IF(Prioritering!K140&gt;=Forside!H$8,IF(Prioritering!K140&lt;H$7,Prioritering!E140,""),"")</f>
        <v/>
      </c>
      <c r="AQ144" s="159" t="str">
        <f ca="1">IF(AP144="","",Prioritering!G140)</f>
        <v/>
      </c>
      <c r="AR144" s="174" t="str">
        <f ca="1">IF(AS144="","",COUNT(AR$18:AR143)+1)</f>
        <v/>
      </c>
      <c r="AS144" s="174" t="str">
        <f ca="1">IF(Prioritering!K140&gt;=Forside!H$9,IF(Prioritering!K140&lt;H$8,Prioritering!E140,""),"")</f>
        <v/>
      </c>
      <c r="AT144" s="174" t="str">
        <f ca="1">IF(AS144="","",Prioritering!G140)</f>
        <v/>
      </c>
      <c r="AU144" s="177" t="str">
        <f ca="1">IF(AV144="","",COUNT(AU$18:AU143)+1)</f>
        <v/>
      </c>
      <c r="AV144" s="177" t="str">
        <f ca="1">IF(Prioritering!K140&lt;Forside!H$9,Prioritering!E140,"")</f>
        <v/>
      </c>
      <c r="AW144" s="177" t="str">
        <f ca="1">IF(AV144="","",Prioritering!G140)</f>
        <v/>
      </c>
    </row>
    <row r="145" spans="11:49" ht="15" customHeight="1" x14ac:dyDescent="0.25">
      <c r="K145" s="15"/>
      <c r="AL145" s="165" t="str">
        <f ca="1">IF(AM145="","",COUNT(AL$18:AL144)+1)</f>
        <v/>
      </c>
      <c r="AM145" s="165" t="str">
        <f ca="1">IF(Prioritering!K141&gt;=Forside!H$7,Prioritering!E141,"")</f>
        <v/>
      </c>
      <c r="AN145" s="165" t="str">
        <f ca="1">IF(AM145="","",Prioritering!G141)</f>
        <v/>
      </c>
      <c r="AO145" s="159" t="str">
        <f ca="1">IF(AP145="","",COUNT(AO$18:AO144)+1)</f>
        <v/>
      </c>
      <c r="AP145" s="172" t="str">
        <f ca="1">IF(Prioritering!K141&gt;=Forside!H$8,IF(Prioritering!K141&lt;H$7,Prioritering!E141,""),"")</f>
        <v/>
      </c>
      <c r="AQ145" s="159" t="str">
        <f ca="1">IF(AP145="","",Prioritering!G141)</f>
        <v/>
      </c>
      <c r="AR145" s="174" t="str">
        <f ca="1">IF(AS145="","",COUNT(AR$18:AR144)+1)</f>
        <v/>
      </c>
      <c r="AS145" s="174" t="str">
        <f ca="1">IF(Prioritering!K141&gt;=Forside!H$9,IF(Prioritering!K141&lt;H$8,Prioritering!E141,""),"")</f>
        <v/>
      </c>
      <c r="AT145" s="174" t="str">
        <f ca="1">IF(AS145="","",Prioritering!G141)</f>
        <v/>
      </c>
      <c r="AU145" s="177" t="str">
        <f ca="1">IF(AV145="","",COUNT(AU$18:AU144)+1)</f>
        <v/>
      </c>
      <c r="AV145" s="177" t="str">
        <f ca="1">IF(Prioritering!K141&lt;Forside!H$9,Prioritering!E141,"")</f>
        <v/>
      </c>
      <c r="AW145" s="177" t="str">
        <f ca="1">IF(AV145="","",Prioritering!G141)</f>
        <v/>
      </c>
    </row>
    <row r="146" spans="11:49" ht="15" customHeight="1" x14ac:dyDescent="0.25">
      <c r="K146" s="15"/>
      <c r="AL146" s="165" t="str">
        <f ca="1">IF(AM146="","",COUNT(AL$18:AL145)+1)</f>
        <v/>
      </c>
      <c r="AM146" s="165" t="str">
        <f ca="1">IF(Prioritering!K142&gt;=Forside!H$7,Prioritering!E142,"")</f>
        <v/>
      </c>
      <c r="AN146" s="165" t="str">
        <f ca="1">IF(AM146="","",Prioritering!G142)</f>
        <v/>
      </c>
      <c r="AO146" s="159" t="str">
        <f ca="1">IF(AP146="","",COUNT(AO$18:AO145)+1)</f>
        <v/>
      </c>
      <c r="AP146" s="172" t="str">
        <f ca="1">IF(Prioritering!K142&gt;=Forside!H$8,IF(Prioritering!K142&lt;H$7,Prioritering!E142,""),"")</f>
        <v/>
      </c>
      <c r="AQ146" s="159" t="str">
        <f ca="1">IF(AP146="","",Prioritering!G142)</f>
        <v/>
      </c>
      <c r="AR146" s="174" t="str">
        <f ca="1">IF(AS146="","",COUNT(AR$18:AR145)+1)</f>
        <v/>
      </c>
      <c r="AS146" s="174" t="str">
        <f ca="1">IF(Prioritering!K142&gt;=Forside!H$9,IF(Prioritering!K142&lt;H$8,Prioritering!E142,""),"")</f>
        <v/>
      </c>
      <c r="AT146" s="174" t="str">
        <f ca="1">IF(AS146="","",Prioritering!G142)</f>
        <v/>
      </c>
      <c r="AU146" s="177" t="str">
        <f ca="1">IF(AV146="","",COUNT(AU$18:AU145)+1)</f>
        <v/>
      </c>
      <c r="AV146" s="177" t="str">
        <f ca="1">IF(Prioritering!K142&lt;Forside!H$9,Prioritering!E142,"")</f>
        <v/>
      </c>
      <c r="AW146" s="177" t="str">
        <f ca="1">IF(AV146="","",Prioritering!G142)</f>
        <v/>
      </c>
    </row>
    <row r="147" spans="11:49" ht="15" customHeight="1" x14ac:dyDescent="0.25">
      <c r="K147" s="15"/>
      <c r="AL147" s="165" t="str">
        <f ca="1">IF(AM147="","",COUNT(AL$18:AL146)+1)</f>
        <v/>
      </c>
      <c r="AM147" s="165" t="str">
        <f ca="1">IF(Prioritering!K143&gt;=Forside!H$7,Prioritering!E143,"")</f>
        <v/>
      </c>
      <c r="AN147" s="165" t="str">
        <f ca="1">IF(AM147="","",Prioritering!G143)</f>
        <v/>
      </c>
      <c r="AO147" s="159" t="str">
        <f ca="1">IF(AP147="","",COUNT(AO$18:AO146)+1)</f>
        <v/>
      </c>
      <c r="AP147" s="172" t="str">
        <f ca="1">IF(Prioritering!K143&gt;=Forside!H$8,IF(Prioritering!K143&lt;H$7,Prioritering!E143,""),"")</f>
        <v/>
      </c>
      <c r="AQ147" s="159" t="str">
        <f ca="1">IF(AP147="","",Prioritering!G143)</f>
        <v/>
      </c>
      <c r="AR147" s="174" t="str">
        <f ca="1">IF(AS147="","",COUNT(AR$18:AR146)+1)</f>
        <v/>
      </c>
      <c r="AS147" s="174" t="str">
        <f ca="1">IF(Prioritering!K143&gt;=Forside!H$9,IF(Prioritering!K143&lt;H$8,Prioritering!E143,""),"")</f>
        <v/>
      </c>
      <c r="AT147" s="174" t="str">
        <f ca="1">IF(AS147="","",Prioritering!G143)</f>
        <v/>
      </c>
      <c r="AU147" s="177" t="str">
        <f ca="1">IF(AV147="","",COUNT(AU$18:AU146)+1)</f>
        <v/>
      </c>
      <c r="AV147" s="177" t="str">
        <f ca="1">IF(Prioritering!K143&lt;Forside!H$9,Prioritering!E143,"")</f>
        <v/>
      </c>
      <c r="AW147" s="177" t="str">
        <f ca="1">IF(AV147="","",Prioritering!G143)</f>
        <v/>
      </c>
    </row>
    <row r="148" spans="11:49" ht="15" customHeight="1" x14ac:dyDescent="0.25">
      <c r="K148" s="15"/>
      <c r="AL148" s="165" t="str">
        <f ca="1">IF(AM148="","",COUNT(AL$18:AL147)+1)</f>
        <v/>
      </c>
      <c r="AM148" s="165" t="str">
        <f ca="1">IF(Prioritering!K144&gt;=Forside!H$7,Prioritering!E144,"")</f>
        <v/>
      </c>
      <c r="AN148" s="165" t="str">
        <f ca="1">IF(AM148="","",Prioritering!G144)</f>
        <v/>
      </c>
      <c r="AO148" s="159" t="str">
        <f ca="1">IF(AP148="","",COUNT(AO$18:AO147)+1)</f>
        <v/>
      </c>
      <c r="AP148" s="172" t="str">
        <f ca="1">IF(Prioritering!K144&gt;=Forside!H$8,IF(Prioritering!K144&lt;H$7,Prioritering!E144,""),"")</f>
        <v/>
      </c>
      <c r="AQ148" s="159" t="str">
        <f ca="1">IF(AP148="","",Prioritering!G144)</f>
        <v/>
      </c>
      <c r="AR148" s="174" t="str">
        <f ca="1">IF(AS148="","",COUNT(AR$18:AR147)+1)</f>
        <v/>
      </c>
      <c r="AS148" s="174" t="str">
        <f ca="1">IF(Prioritering!K144&gt;=Forside!H$9,IF(Prioritering!K144&lt;H$8,Prioritering!E144,""),"")</f>
        <v/>
      </c>
      <c r="AT148" s="174" t="str">
        <f ca="1">IF(AS148="","",Prioritering!G144)</f>
        <v/>
      </c>
      <c r="AU148" s="177" t="str">
        <f ca="1">IF(AV148="","",COUNT(AU$18:AU147)+1)</f>
        <v/>
      </c>
      <c r="AV148" s="177" t="str">
        <f ca="1">IF(Prioritering!K144&lt;Forside!H$9,Prioritering!E144,"")</f>
        <v/>
      </c>
      <c r="AW148" s="177" t="str">
        <f ca="1">IF(AV148="","",Prioritering!G144)</f>
        <v/>
      </c>
    </row>
    <row r="149" spans="11:49" ht="15" customHeight="1" x14ac:dyDescent="0.25">
      <c r="K149" s="15"/>
      <c r="AL149" s="165" t="str">
        <f ca="1">IF(AM149="","",COUNT(AL$18:AL148)+1)</f>
        <v/>
      </c>
      <c r="AM149" s="165" t="str">
        <f ca="1">IF(Prioritering!K145&gt;=Forside!H$7,Prioritering!E145,"")</f>
        <v/>
      </c>
      <c r="AN149" s="165" t="str">
        <f ca="1">IF(AM149="","",Prioritering!G145)</f>
        <v/>
      </c>
      <c r="AO149" s="159" t="str">
        <f ca="1">IF(AP149="","",COUNT(AO$18:AO148)+1)</f>
        <v/>
      </c>
      <c r="AP149" s="172" t="str">
        <f ca="1">IF(Prioritering!K145&gt;=Forside!H$8,IF(Prioritering!K145&lt;H$7,Prioritering!E145,""),"")</f>
        <v/>
      </c>
      <c r="AQ149" s="159" t="str">
        <f ca="1">IF(AP149="","",Prioritering!G145)</f>
        <v/>
      </c>
      <c r="AR149" s="174" t="str">
        <f ca="1">IF(AS149="","",COUNT(AR$18:AR148)+1)</f>
        <v/>
      </c>
      <c r="AS149" s="174" t="str">
        <f ca="1">IF(Prioritering!K145&gt;=Forside!H$9,IF(Prioritering!K145&lt;H$8,Prioritering!E145,""),"")</f>
        <v/>
      </c>
      <c r="AT149" s="174" t="str">
        <f ca="1">IF(AS149="","",Prioritering!G145)</f>
        <v/>
      </c>
      <c r="AU149" s="177" t="str">
        <f ca="1">IF(AV149="","",COUNT(AU$18:AU148)+1)</f>
        <v/>
      </c>
      <c r="AV149" s="177" t="str">
        <f ca="1">IF(Prioritering!K145&lt;Forside!H$9,Prioritering!E145,"")</f>
        <v/>
      </c>
      <c r="AW149" s="177" t="str">
        <f ca="1">IF(AV149="","",Prioritering!G145)</f>
        <v/>
      </c>
    </row>
    <row r="150" spans="11:49" ht="15" customHeight="1" x14ac:dyDescent="0.25">
      <c r="K150" s="15"/>
      <c r="AL150" s="165" t="str">
        <f ca="1">IF(AM150="","",COUNT(AL$18:AL149)+1)</f>
        <v/>
      </c>
      <c r="AM150" s="165" t="str">
        <f ca="1">IF(Prioritering!K146&gt;=Forside!H$7,Prioritering!E146,"")</f>
        <v/>
      </c>
      <c r="AN150" s="165" t="str">
        <f ca="1">IF(AM150="","",Prioritering!G146)</f>
        <v/>
      </c>
      <c r="AO150" s="159" t="str">
        <f ca="1">IF(AP150="","",COUNT(AO$18:AO149)+1)</f>
        <v/>
      </c>
      <c r="AP150" s="172" t="str">
        <f ca="1">IF(Prioritering!K146&gt;=Forside!H$8,IF(Prioritering!K146&lt;H$7,Prioritering!E146,""),"")</f>
        <v/>
      </c>
      <c r="AQ150" s="159" t="str">
        <f ca="1">IF(AP150="","",Prioritering!G146)</f>
        <v/>
      </c>
      <c r="AR150" s="174" t="str">
        <f ca="1">IF(AS150="","",COUNT(AR$18:AR149)+1)</f>
        <v/>
      </c>
      <c r="AS150" s="174" t="str">
        <f ca="1">IF(Prioritering!K146&gt;=Forside!H$9,IF(Prioritering!K146&lt;H$8,Prioritering!E146,""),"")</f>
        <v/>
      </c>
      <c r="AT150" s="174" t="str">
        <f ca="1">IF(AS150="","",Prioritering!G146)</f>
        <v/>
      </c>
      <c r="AU150" s="177" t="str">
        <f ca="1">IF(AV150="","",COUNT(AU$18:AU149)+1)</f>
        <v/>
      </c>
      <c r="AV150" s="177" t="str">
        <f ca="1">IF(Prioritering!K146&lt;Forside!H$9,Prioritering!E146,"")</f>
        <v/>
      </c>
      <c r="AW150" s="177" t="str">
        <f ca="1">IF(AV150="","",Prioritering!G146)</f>
        <v/>
      </c>
    </row>
    <row r="151" spans="11:49" ht="15" customHeight="1" x14ac:dyDescent="0.25">
      <c r="K151" s="15"/>
      <c r="AL151" s="165" t="str">
        <f ca="1">IF(AM151="","",COUNT(AL$18:AL150)+1)</f>
        <v/>
      </c>
      <c r="AM151" s="165" t="str">
        <f ca="1">IF(Prioritering!K147&gt;=Forside!H$7,Prioritering!E147,"")</f>
        <v/>
      </c>
      <c r="AN151" s="165" t="str">
        <f ca="1">IF(AM151="","",Prioritering!G147)</f>
        <v/>
      </c>
      <c r="AO151" s="159" t="str">
        <f ca="1">IF(AP151="","",COUNT(AO$18:AO150)+1)</f>
        <v/>
      </c>
      <c r="AP151" s="172" t="str">
        <f ca="1">IF(Prioritering!K147&gt;=Forside!H$8,IF(Prioritering!K147&lt;H$7,Prioritering!E147,""),"")</f>
        <v/>
      </c>
      <c r="AQ151" s="159" t="str">
        <f ca="1">IF(AP151="","",Prioritering!G147)</f>
        <v/>
      </c>
      <c r="AR151" s="174" t="str">
        <f ca="1">IF(AS151="","",COUNT(AR$18:AR150)+1)</f>
        <v/>
      </c>
      <c r="AS151" s="174" t="str">
        <f ca="1">IF(Prioritering!K147&gt;=Forside!H$9,IF(Prioritering!K147&lt;H$8,Prioritering!E147,""),"")</f>
        <v/>
      </c>
      <c r="AT151" s="174" t="str">
        <f ca="1">IF(AS151="","",Prioritering!G147)</f>
        <v/>
      </c>
      <c r="AU151" s="177" t="str">
        <f ca="1">IF(AV151="","",COUNT(AU$18:AU150)+1)</f>
        <v/>
      </c>
      <c r="AV151" s="177" t="str">
        <f ca="1">IF(Prioritering!K147&lt;Forside!H$9,Prioritering!E147,"")</f>
        <v/>
      </c>
      <c r="AW151" s="177" t="str">
        <f ca="1">IF(AV151="","",Prioritering!G147)</f>
        <v/>
      </c>
    </row>
    <row r="152" spans="11:49" ht="15" customHeight="1" x14ac:dyDescent="0.25">
      <c r="K152" s="15"/>
      <c r="AL152" s="165" t="str">
        <f ca="1">IF(AM152="","",COUNT(AL$18:AL151)+1)</f>
        <v/>
      </c>
      <c r="AM152" s="165" t="str">
        <f ca="1">IF(Prioritering!K148&gt;=Forside!H$7,Prioritering!E148,"")</f>
        <v/>
      </c>
      <c r="AN152" s="165" t="str">
        <f ca="1">IF(AM152="","",Prioritering!G148)</f>
        <v/>
      </c>
      <c r="AO152" s="159" t="str">
        <f ca="1">IF(AP152="","",COUNT(AO$18:AO151)+1)</f>
        <v/>
      </c>
      <c r="AP152" s="172" t="str">
        <f ca="1">IF(Prioritering!K148&gt;=Forside!H$8,IF(Prioritering!K148&lt;H$7,Prioritering!E148,""),"")</f>
        <v/>
      </c>
      <c r="AQ152" s="159" t="str">
        <f ca="1">IF(AP152="","",Prioritering!G148)</f>
        <v/>
      </c>
      <c r="AR152" s="174" t="str">
        <f ca="1">IF(AS152="","",COUNT(AR$18:AR151)+1)</f>
        <v/>
      </c>
      <c r="AS152" s="174" t="str">
        <f ca="1">IF(Prioritering!K148&gt;=Forside!H$9,IF(Prioritering!K148&lt;H$8,Prioritering!E148,""),"")</f>
        <v/>
      </c>
      <c r="AT152" s="174" t="str">
        <f ca="1">IF(AS152="","",Prioritering!G148)</f>
        <v/>
      </c>
      <c r="AU152" s="177" t="str">
        <f ca="1">IF(AV152="","",COUNT(AU$18:AU151)+1)</f>
        <v/>
      </c>
      <c r="AV152" s="177" t="str">
        <f ca="1">IF(Prioritering!K148&lt;Forside!H$9,Prioritering!E148,"")</f>
        <v/>
      </c>
      <c r="AW152" s="177" t="str">
        <f ca="1">IF(AV152="","",Prioritering!G148)</f>
        <v/>
      </c>
    </row>
    <row r="153" spans="11:49" ht="15" customHeight="1" x14ac:dyDescent="0.25">
      <c r="K153" s="15"/>
      <c r="AL153" s="165" t="str">
        <f ca="1">IF(AM153="","",COUNT(AL$18:AL152)+1)</f>
        <v/>
      </c>
      <c r="AM153" s="165" t="str">
        <f ca="1">IF(Prioritering!K149&gt;=Forside!H$7,Prioritering!E149,"")</f>
        <v/>
      </c>
      <c r="AN153" s="165" t="str">
        <f ca="1">IF(AM153="","",Prioritering!G149)</f>
        <v/>
      </c>
      <c r="AO153" s="159" t="str">
        <f ca="1">IF(AP153="","",COUNT(AO$18:AO152)+1)</f>
        <v/>
      </c>
      <c r="AP153" s="172" t="str">
        <f ca="1">IF(Prioritering!K149&gt;=Forside!H$8,IF(Prioritering!K149&lt;H$7,Prioritering!E149,""),"")</f>
        <v/>
      </c>
      <c r="AQ153" s="159" t="str">
        <f ca="1">IF(AP153="","",Prioritering!G149)</f>
        <v/>
      </c>
      <c r="AR153" s="174" t="str">
        <f ca="1">IF(AS153="","",COUNT(AR$18:AR152)+1)</f>
        <v/>
      </c>
      <c r="AS153" s="174" t="str">
        <f ca="1">IF(Prioritering!K149&gt;=Forside!H$9,IF(Prioritering!K149&lt;H$8,Prioritering!E149,""),"")</f>
        <v/>
      </c>
      <c r="AT153" s="174" t="str">
        <f ca="1">IF(AS153="","",Prioritering!G149)</f>
        <v/>
      </c>
      <c r="AU153" s="177" t="str">
        <f ca="1">IF(AV153="","",COUNT(AU$18:AU152)+1)</f>
        <v/>
      </c>
      <c r="AV153" s="177" t="str">
        <f ca="1">IF(Prioritering!K149&lt;Forside!H$9,Prioritering!E149,"")</f>
        <v/>
      </c>
      <c r="AW153" s="177" t="str">
        <f ca="1">IF(AV153="","",Prioritering!G149)</f>
        <v/>
      </c>
    </row>
    <row r="154" spans="11:49" ht="15" customHeight="1" x14ac:dyDescent="0.25">
      <c r="K154" s="15"/>
      <c r="AL154" s="165" t="str">
        <f ca="1">IF(AM154="","",COUNT(AL$18:AL153)+1)</f>
        <v/>
      </c>
      <c r="AM154" s="165" t="str">
        <f ca="1">IF(Prioritering!K150&gt;=Forside!H$7,Prioritering!E150,"")</f>
        <v/>
      </c>
      <c r="AN154" s="165" t="str">
        <f ca="1">IF(AM154="","",Prioritering!G150)</f>
        <v/>
      </c>
      <c r="AO154" s="159" t="str">
        <f ca="1">IF(AP154="","",COUNT(AO$18:AO153)+1)</f>
        <v/>
      </c>
      <c r="AP154" s="172" t="str">
        <f ca="1">IF(Prioritering!K150&gt;=Forside!H$8,IF(Prioritering!K150&lt;H$7,Prioritering!E150,""),"")</f>
        <v/>
      </c>
      <c r="AQ154" s="159" t="str">
        <f ca="1">IF(AP154="","",Prioritering!G150)</f>
        <v/>
      </c>
      <c r="AR154" s="174" t="str">
        <f ca="1">IF(AS154="","",COUNT(AR$18:AR153)+1)</f>
        <v/>
      </c>
      <c r="AS154" s="174" t="str">
        <f ca="1">IF(Prioritering!K150&gt;=Forside!H$9,IF(Prioritering!K150&lt;H$8,Prioritering!E150,""),"")</f>
        <v/>
      </c>
      <c r="AT154" s="174" t="str">
        <f ca="1">IF(AS154="","",Prioritering!G150)</f>
        <v/>
      </c>
      <c r="AU154" s="177" t="str">
        <f ca="1">IF(AV154="","",COUNT(AU$18:AU153)+1)</f>
        <v/>
      </c>
      <c r="AV154" s="177" t="str">
        <f ca="1">IF(Prioritering!K150&lt;Forside!H$9,Prioritering!E150,"")</f>
        <v/>
      </c>
      <c r="AW154" s="177" t="str">
        <f ca="1">IF(AV154="","",Prioritering!G150)</f>
        <v/>
      </c>
    </row>
    <row r="155" spans="11:49" ht="15" customHeight="1" x14ac:dyDescent="0.25">
      <c r="K155" s="15"/>
      <c r="AL155" s="165" t="str">
        <f ca="1">IF(AM155="","",COUNT(AL$18:AL154)+1)</f>
        <v/>
      </c>
      <c r="AM155" s="165" t="str">
        <f ca="1">IF(Prioritering!K151&gt;=Forside!H$7,Prioritering!E151,"")</f>
        <v/>
      </c>
      <c r="AN155" s="165" t="str">
        <f ca="1">IF(AM155="","",Prioritering!G151)</f>
        <v/>
      </c>
      <c r="AO155" s="159" t="str">
        <f ca="1">IF(AP155="","",COUNT(AO$18:AO154)+1)</f>
        <v/>
      </c>
      <c r="AP155" s="172" t="str">
        <f ca="1">IF(Prioritering!K151&gt;=Forside!H$8,IF(Prioritering!K151&lt;H$7,Prioritering!E151,""),"")</f>
        <v/>
      </c>
      <c r="AQ155" s="159" t="str">
        <f ca="1">IF(AP155="","",Prioritering!G151)</f>
        <v/>
      </c>
      <c r="AR155" s="174" t="str">
        <f ca="1">IF(AS155="","",COUNT(AR$18:AR154)+1)</f>
        <v/>
      </c>
      <c r="AS155" s="174" t="str">
        <f ca="1">IF(Prioritering!K151&gt;=Forside!H$9,IF(Prioritering!K151&lt;H$8,Prioritering!E151,""),"")</f>
        <v/>
      </c>
      <c r="AT155" s="174" t="str">
        <f ca="1">IF(AS155="","",Prioritering!G151)</f>
        <v/>
      </c>
      <c r="AU155" s="177" t="str">
        <f ca="1">IF(AV155="","",COUNT(AU$18:AU154)+1)</f>
        <v/>
      </c>
      <c r="AV155" s="177" t="str">
        <f ca="1">IF(Prioritering!K151&lt;Forside!H$9,Prioritering!E151,"")</f>
        <v/>
      </c>
      <c r="AW155" s="177" t="str">
        <f ca="1">IF(AV155="","",Prioritering!G151)</f>
        <v/>
      </c>
    </row>
    <row r="156" spans="11:49" ht="15" customHeight="1" x14ac:dyDescent="0.25">
      <c r="K156" s="15"/>
      <c r="AL156" s="165" t="str">
        <f ca="1">IF(AM156="","",COUNT(AL$18:AL155)+1)</f>
        <v/>
      </c>
      <c r="AM156" s="165" t="str">
        <f ca="1">IF(Prioritering!K152&gt;=Forside!H$7,Prioritering!E152,"")</f>
        <v/>
      </c>
      <c r="AN156" s="165" t="str">
        <f ca="1">IF(AM156="","",Prioritering!G152)</f>
        <v/>
      </c>
      <c r="AO156" s="159" t="str">
        <f ca="1">IF(AP156="","",COUNT(AO$18:AO155)+1)</f>
        <v/>
      </c>
      <c r="AP156" s="172" t="str">
        <f ca="1">IF(Prioritering!K152&gt;=Forside!H$8,IF(Prioritering!K152&lt;H$7,Prioritering!E152,""),"")</f>
        <v/>
      </c>
      <c r="AQ156" s="159" t="str">
        <f ca="1">IF(AP156="","",Prioritering!G152)</f>
        <v/>
      </c>
      <c r="AR156" s="174" t="str">
        <f ca="1">IF(AS156="","",COUNT(AR$18:AR155)+1)</f>
        <v/>
      </c>
      <c r="AS156" s="174" t="str">
        <f ca="1">IF(Prioritering!K152&gt;=Forside!H$9,IF(Prioritering!K152&lt;H$8,Prioritering!E152,""),"")</f>
        <v/>
      </c>
      <c r="AT156" s="174" t="str">
        <f ca="1">IF(AS156="","",Prioritering!G152)</f>
        <v/>
      </c>
      <c r="AU156" s="177" t="str">
        <f ca="1">IF(AV156="","",COUNT(AU$18:AU155)+1)</f>
        <v/>
      </c>
      <c r="AV156" s="177" t="str">
        <f ca="1">IF(Prioritering!K152&lt;Forside!H$9,Prioritering!E152,"")</f>
        <v/>
      </c>
      <c r="AW156" s="177" t="str">
        <f ca="1">IF(AV156="","",Prioritering!G152)</f>
        <v/>
      </c>
    </row>
    <row r="157" spans="11:49" ht="15" customHeight="1" x14ac:dyDescent="0.25">
      <c r="K157" s="15"/>
      <c r="AL157" s="165" t="str">
        <f ca="1">IF(AM157="","",COUNT(AL$18:AL156)+1)</f>
        <v/>
      </c>
      <c r="AM157" s="165" t="str">
        <f ca="1">IF(Prioritering!K153&gt;=Forside!H$7,Prioritering!E153,"")</f>
        <v/>
      </c>
      <c r="AN157" s="165" t="str">
        <f ca="1">IF(AM157="","",Prioritering!G153)</f>
        <v/>
      </c>
      <c r="AO157" s="159" t="str">
        <f ca="1">IF(AP157="","",COUNT(AO$18:AO156)+1)</f>
        <v/>
      </c>
      <c r="AP157" s="172" t="str">
        <f ca="1">IF(Prioritering!K153&gt;=Forside!H$8,IF(Prioritering!K153&lt;H$7,Prioritering!E153,""),"")</f>
        <v/>
      </c>
      <c r="AQ157" s="159" t="str">
        <f ca="1">IF(AP157="","",Prioritering!G153)</f>
        <v/>
      </c>
      <c r="AR157" s="174" t="str">
        <f ca="1">IF(AS157="","",COUNT(AR$18:AR156)+1)</f>
        <v/>
      </c>
      <c r="AS157" s="174" t="str">
        <f ca="1">IF(Prioritering!K153&gt;=Forside!H$9,IF(Prioritering!K153&lt;H$8,Prioritering!E153,""),"")</f>
        <v/>
      </c>
      <c r="AT157" s="174" t="str">
        <f ca="1">IF(AS157="","",Prioritering!G153)</f>
        <v/>
      </c>
      <c r="AU157" s="177" t="str">
        <f ca="1">IF(AV157="","",COUNT(AU$18:AU156)+1)</f>
        <v/>
      </c>
      <c r="AV157" s="177" t="str">
        <f ca="1">IF(Prioritering!K153&lt;Forside!H$9,Prioritering!E153,"")</f>
        <v/>
      </c>
      <c r="AW157" s="177" t="str">
        <f ca="1">IF(AV157="","",Prioritering!G153)</f>
        <v/>
      </c>
    </row>
    <row r="158" spans="11:49" ht="15" customHeight="1" x14ac:dyDescent="0.25">
      <c r="K158" s="15"/>
      <c r="AL158" s="165" t="str">
        <f ca="1">IF(AM158="","",COUNT(AL$18:AL157)+1)</f>
        <v/>
      </c>
      <c r="AM158" s="165" t="str">
        <f ca="1">IF(Prioritering!K154&gt;=Forside!H$7,Prioritering!E154,"")</f>
        <v/>
      </c>
      <c r="AN158" s="165" t="str">
        <f ca="1">IF(AM158="","",Prioritering!G154)</f>
        <v/>
      </c>
      <c r="AO158" s="159" t="str">
        <f ca="1">IF(AP158="","",COUNT(AO$18:AO157)+1)</f>
        <v/>
      </c>
      <c r="AP158" s="172" t="str">
        <f ca="1">IF(Prioritering!K154&gt;=Forside!H$8,IF(Prioritering!K154&lt;H$7,Prioritering!E154,""),"")</f>
        <v/>
      </c>
      <c r="AQ158" s="159" t="str">
        <f ca="1">IF(AP158="","",Prioritering!G154)</f>
        <v/>
      </c>
      <c r="AR158" s="174" t="str">
        <f ca="1">IF(AS158="","",COUNT(AR$18:AR157)+1)</f>
        <v/>
      </c>
      <c r="AS158" s="174" t="str">
        <f ca="1">IF(Prioritering!K154&gt;=Forside!H$9,IF(Prioritering!K154&lt;H$8,Prioritering!E154,""),"")</f>
        <v/>
      </c>
      <c r="AT158" s="174" t="str">
        <f ca="1">IF(AS158="","",Prioritering!G154)</f>
        <v/>
      </c>
      <c r="AU158" s="177" t="str">
        <f ca="1">IF(AV158="","",COUNT(AU$18:AU157)+1)</f>
        <v/>
      </c>
      <c r="AV158" s="177" t="str">
        <f ca="1">IF(Prioritering!K154&lt;Forside!H$9,Prioritering!E154,"")</f>
        <v/>
      </c>
      <c r="AW158" s="177" t="str">
        <f ca="1">IF(AV158="","",Prioritering!G154)</f>
        <v/>
      </c>
    </row>
    <row r="159" spans="11:49" ht="15" customHeight="1" x14ac:dyDescent="0.25">
      <c r="K159" s="15"/>
      <c r="AL159" s="165" t="str">
        <f ca="1">IF(AM159="","",COUNT(AL$18:AL158)+1)</f>
        <v/>
      </c>
      <c r="AM159" s="165" t="str">
        <f ca="1">IF(Prioritering!K155&gt;=Forside!H$7,Prioritering!E155,"")</f>
        <v/>
      </c>
      <c r="AN159" s="165" t="str">
        <f ca="1">IF(AM159="","",Prioritering!G155)</f>
        <v/>
      </c>
      <c r="AO159" s="159" t="str">
        <f ca="1">IF(AP159="","",COUNT(AO$18:AO158)+1)</f>
        <v/>
      </c>
      <c r="AP159" s="172" t="str">
        <f ca="1">IF(Prioritering!K155&gt;=Forside!H$8,IF(Prioritering!K155&lt;H$7,Prioritering!E155,""),"")</f>
        <v/>
      </c>
      <c r="AQ159" s="159" t="str">
        <f ca="1">IF(AP159="","",Prioritering!G155)</f>
        <v/>
      </c>
      <c r="AR159" s="174" t="str">
        <f ca="1">IF(AS159="","",COUNT(AR$18:AR158)+1)</f>
        <v/>
      </c>
      <c r="AS159" s="174" t="str">
        <f ca="1">IF(Prioritering!K155&gt;=Forside!H$9,IF(Prioritering!K155&lt;H$8,Prioritering!E155,""),"")</f>
        <v/>
      </c>
      <c r="AT159" s="174" t="str">
        <f ca="1">IF(AS159="","",Prioritering!G155)</f>
        <v/>
      </c>
      <c r="AU159" s="177" t="str">
        <f ca="1">IF(AV159="","",COUNT(AU$18:AU158)+1)</f>
        <v/>
      </c>
      <c r="AV159" s="177" t="str">
        <f ca="1">IF(Prioritering!K155&lt;Forside!H$9,Prioritering!E155,"")</f>
        <v/>
      </c>
      <c r="AW159" s="177" t="str">
        <f ca="1">IF(AV159="","",Prioritering!G155)</f>
        <v/>
      </c>
    </row>
    <row r="160" spans="11:49" ht="15" customHeight="1" x14ac:dyDescent="0.25">
      <c r="K160" s="15"/>
      <c r="AL160" s="165" t="str">
        <f ca="1">IF(AM160="","",COUNT(AL$18:AL159)+1)</f>
        <v/>
      </c>
      <c r="AM160" s="165" t="str">
        <f ca="1">IF(Prioritering!K156&gt;=Forside!H$7,Prioritering!E156,"")</f>
        <v/>
      </c>
      <c r="AN160" s="165" t="str">
        <f ca="1">IF(AM160="","",Prioritering!G156)</f>
        <v/>
      </c>
      <c r="AO160" s="159" t="str">
        <f ca="1">IF(AP160="","",COUNT(AO$18:AO159)+1)</f>
        <v/>
      </c>
      <c r="AP160" s="172" t="str">
        <f ca="1">IF(Prioritering!K156&gt;=Forside!H$8,IF(Prioritering!K156&lt;H$7,Prioritering!E156,""),"")</f>
        <v/>
      </c>
      <c r="AQ160" s="159" t="str">
        <f ca="1">IF(AP160="","",Prioritering!G156)</f>
        <v/>
      </c>
      <c r="AR160" s="174" t="str">
        <f ca="1">IF(AS160="","",COUNT(AR$18:AR159)+1)</f>
        <v/>
      </c>
      <c r="AS160" s="174" t="str">
        <f ca="1">IF(Prioritering!K156&gt;=Forside!H$9,IF(Prioritering!K156&lt;H$8,Prioritering!E156,""),"")</f>
        <v/>
      </c>
      <c r="AT160" s="174" t="str">
        <f ca="1">IF(AS160="","",Prioritering!G156)</f>
        <v/>
      </c>
      <c r="AU160" s="177" t="str">
        <f ca="1">IF(AV160="","",COUNT(AU$18:AU159)+1)</f>
        <v/>
      </c>
      <c r="AV160" s="177" t="str">
        <f ca="1">IF(Prioritering!K156&lt;Forside!H$9,Prioritering!E156,"")</f>
        <v/>
      </c>
      <c r="AW160" s="177" t="str">
        <f ca="1">IF(AV160="","",Prioritering!G156)</f>
        <v/>
      </c>
    </row>
    <row r="161" spans="11:49" ht="15" customHeight="1" x14ac:dyDescent="0.25">
      <c r="K161" s="15"/>
      <c r="AL161" s="165" t="str">
        <f ca="1">IF(AM161="","",COUNT(AL$18:AL160)+1)</f>
        <v/>
      </c>
      <c r="AM161" s="165" t="str">
        <f ca="1">IF(Prioritering!K157&gt;=Forside!H$7,Prioritering!E157,"")</f>
        <v/>
      </c>
      <c r="AN161" s="165" t="str">
        <f ca="1">IF(AM161="","",Prioritering!G157)</f>
        <v/>
      </c>
      <c r="AO161" s="159" t="str">
        <f ca="1">IF(AP161="","",COUNT(AO$18:AO160)+1)</f>
        <v/>
      </c>
      <c r="AP161" s="172" t="str">
        <f ca="1">IF(Prioritering!K157&gt;=Forside!H$8,IF(Prioritering!K157&lt;H$7,Prioritering!E157,""),"")</f>
        <v/>
      </c>
      <c r="AQ161" s="159" t="str">
        <f ca="1">IF(AP161="","",Prioritering!G157)</f>
        <v/>
      </c>
      <c r="AR161" s="174" t="str">
        <f ca="1">IF(AS161="","",COUNT(AR$18:AR160)+1)</f>
        <v/>
      </c>
      <c r="AS161" s="174" t="str">
        <f ca="1">IF(Prioritering!K157&gt;=Forside!H$9,IF(Prioritering!K157&lt;H$8,Prioritering!E157,""),"")</f>
        <v/>
      </c>
      <c r="AT161" s="174" t="str">
        <f ca="1">IF(AS161="","",Prioritering!G157)</f>
        <v/>
      </c>
      <c r="AU161" s="177" t="str">
        <f ca="1">IF(AV161="","",COUNT(AU$18:AU160)+1)</f>
        <v/>
      </c>
      <c r="AV161" s="177" t="str">
        <f ca="1">IF(Prioritering!K157&lt;Forside!H$9,Prioritering!E157,"")</f>
        <v/>
      </c>
      <c r="AW161" s="177" t="str">
        <f ca="1">IF(AV161="","",Prioritering!G157)</f>
        <v/>
      </c>
    </row>
    <row r="162" spans="11:49" ht="15" customHeight="1" x14ac:dyDescent="0.25">
      <c r="K162" s="15"/>
      <c r="AL162" s="165" t="str">
        <f ca="1">IF(AM162="","",COUNT(AL$18:AL161)+1)</f>
        <v/>
      </c>
      <c r="AM162" s="165" t="str">
        <f ca="1">IF(Prioritering!K158&gt;=Forside!H$7,Prioritering!E158,"")</f>
        <v/>
      </c>
      <c r="AN162" s="165" t="str">
        <f ca="1">IF(AM162="","",Prioritering!G158)</f>
        <v/>
      </c>
      <c r="AO162" s="159" t="str">
        <f ca="1">IF(AP162="","",COUNT(AO$18:AO161)+1)</f>
        <v/>
      </c>
      <c r="AP162" s="172" t="str">
        <f ca="1">IF(Prioritering!K158&gt;=Forside!H$8,IF(Prioritering!K158&lt;H$7,Prioritering!E158,""),"")</f>
        <v/>
      </c>
      <c r="AQ162" s="159" t="str">
        <f ca="1">IF(AP162="","",Prioritering!G158)</f>
        <v/>
      </c>
      <c r="AR162" s="174" t="str">
        <f ca="1">IF(AS162="","",COUNT(AR$18:AR161)+1)</f>
        <v/>
      </c>
      <c r="AS162" s="174" t="str">
        <f ca="1">IF(Prioritering!K158&gt;=Forside!H$9,IF(Prioritering!K158&lt;H$8,Prioritering!E158,""),"")</f>
        <v/>
      </c>
      <c r="AT162" s="174" t="str">
        <f ca="1">IF(AS162="","",Prioritering!G158)</f>
        <v/>
      </c>
      <c r="AU162" s="177" t="str">
        <f ca="1">IF(AV162="","",COUNT(AU$18:AU161)+1)</f>
        <v/>
      </c>
      <c r="AV162" s="177" t="str">
        <f ca="1">IF(Prioritering!K158&lt;Forside!H$9,Prioritering!E158,"")</f>
        <v/>
      </c>
      <c r="AW162" s="177" t="str">
        <f ca="1">IF(AV162="","",Prioritering!G158)</f>
        <v/>
      </c>
    </row>
    <row r="163" spans="11:49" ht="15" customHeight="1" x14ac:dyDescent="0.25">
      <c r="K163" s="15"/>
      <c r="AL163" s="165" t="str">
        <f ca="1">IF(AM163="","",COUNT(AL$18:AL162)+1)</f>
        <v/>
      </c>
      <c r="AM163" s="165" t="str">
        <f ca="1">IF(Prioritering!K159&gt;=Forside!H$7,Prioritering!E159,"")</f>
        <v/>
      </c>
      <c r="AN163" s="165" t="str">
        <f ca="1">IF(AM163="","",Prioritering!G159)</f>
        <v/>
      </c>
      <c r="AO163" s="159" t="str">
        <f ca="1">IF(AP163="","",COUNT(AO$18:AO162)+1)</f>
        <v/>
      </c>
      <c r="AP163" s="172" t="str">
        <f ca="1">IF(Prioritering!K159&gt;=Forside!H$8,IF(Prioritering!K159&lt;H$7,Prioritering!E159,""),"")</f>
        <v/>
      </c>
      <c r="AQ163" s="159" t="str">
        <f ca="1">IF(AP163="","",Prioritering!G159)</f>
        <v/>
      </c>
      <c r="AR163" s="174" t="str">
        <f ca="1">IF(AS163="","",COUNT(AR$18:AR162)+1)</f>
        <v/>
      </c>
      <c r="AS163" s="174" t="str">
        <f ca="1">IF(Prioritering!K159&gt;=Forside!H$9,IF(Prioritering!K159&lt;H$8,Prioritering!E159,""),"")</f>
        <v/>
      </c>
      <c r="AT163" s="174" t="str">
        <f ca="1">IF(AS163="","",Prioritering!G159)</f>
        <v/>
      </c>
      <c r="AU163" s="177" t="str">
        <f ca="1">IF(AV163="","",COUNT(AU$18:AU162)+1)</f>
        <v/>
      </c>
      <c r="AV163" s="177" t="str">
        <f ca="1">IF(Prioritering!K159&lt;Forside!H$9,Prioritering!E159,"")</f>
        <v/>
      </c>
      <c r="AW163" s="177" t="str">
        <f ca="1">IF(AV163="","",Prioritering!G159)</f>
        <v/>
      </c>
    </row>
    <row r="164" spans="11:49" ht="15" customHeight="1" x14ac:dyDescent="0.25">
      <c r="K164" s="15"/>
      <c r="AL164" s="165" t="str">
        <f ca="1">IF(AM164="","",COUNT(AL$18:AL163)+1)</f>
        <v/>
      </c>
      <c r="AM164" s="165" t="str">
        <f ca="1">IF(Prioritering!K160&gt;=Forside!H$7,Prioritering!E160,"")</f>
        <v/>
      </c>
      <c r="AN164" s="165" t="str">
        <f ca="1">IF(AM164="","",Prioritering!G160)</f>
        <v/>
      </c>
      <c r="AO164" s="159" t="str">
        <f ca="1">IF(AP164="","",COUNT(AO$18:AO163)+1)</f>
        <v/>
      </c>
      <c r="AP164" s="172" t="str">
        <f ca="1">IF(Prioritering!K160&gt;=Forside!H$8,IF(Prioritering!K160&lt;H$7,Prioritering!E160,""),"")</f>
        <v/>
      </c>
      <c r="AQ164" s="159" t="str">
        <f ca="1">IF(AP164="","",Prioritering!G160)</f>
        <v/>
      </c>
      <c r="AR164" s="174" t="str">
        <f ca="1">IF(AS164="","",COUNT(AR$18:AR163)+1)</f>
        <v/>
      </c>
      <c r="AS164" s="174" t="str">
        <f ca="1">IF(Prioritering!K160&gt;=Forside!H$9,IF(Prioritering!K160&lt;H$8,Prioritering!E160,""),"")</f>
        <v/>
      </c>
      <c r="AT164" s="174" t="str">
        <f ca="1">IF(AS164="","",Prioritering!G160)</f>
        <v/>
      </c>
      <c r="AU164" s="177" t="str">
        <f ca="1">IF(AV164="","",COUNT(AU$18:AU163)+1)</f>
        <v/>
      </c>
      <c r="AV164" s="177" t="str">
        <f ca="1">IF(Prioritering!K160&lt;Forside!H$9,Prioritering!E160,"")</f>
        <v/>
      </c>
      <c r="AW164" s="177" t="str">
        <f ca="1">IF(AV164="","",Prioritering!G160)</f>
        <v/>
      </c>
    </row>
    <row r="165" spans="11:49" ht="15" customHeight="1" x14ac:dyDescent="0.25">
      <c r="K165" s="15"/>
      <c r="AL165" s="165" t="str">
        <f ca="1">IF(AM165="","",COUNT(AL$18:AL164)+1)</f>
        <v/>
      </c>
      <c r="AM165" s="165" t="str">
        <f ca="1">IF(Prioritering!K161&gt;=Forside!H$7,Prioritering!E161,"")</f>
        <v/>
      </c>
      <c r="AN165" s="165" t="str">
        <f ca="1">IF(AM165="","",Prioritering!G161)</f>
        <v/>
      </c>
      <c r="AO165" s="159" t="str">
        <f ca="1">IF(AP165="","",COUNT(AO$18:AO164)+1)</f>
        <v/>
      </c>
      <c r="AP165" s="172" t="str">
        <f ca="1">IF(Prioritering!K161&gt;=Forside!H$8,IF(Prioritering!K161&lt;H$7,Prioritering!E161,""),"")</f>
        <v/>
      </c>
      <c r="AQ165" s="159" t="str">
        <f ca="1">IF(AP165="","",Prioritering!G161)</f>
        <v/>
      </c>
      <c r="AR165" s="174" t="str">
        <f ca="1">IF(AS165="","",COUNT(AR$18:AR164)+1)</f>
        <v/>
      </c>
      <c r="AS165" s="174" t="str">
        <f ca="1">IF(Prioritering!K161&gt;=Forside!H$9,IF(Prioritering!K161&lt;H$8,Prioritering!E161,""),"")</f>
        <v/>
      </c>
      <c r="AT165" s="174" t="str">
        <f ca="1">IF(AS165="","",Prioritering!G161)</f>
        <v/>
      </c>
      <c r="AU165" s="177" t="str">
        <f ca="1">IF(AV165="","",COUNT(AU$18:AU164)+1)</f>
        <v/>
      </c>
      <c r="AV165" s="177" t="str">
        <f ca="1">IF(Prioritering!K161&lt;Forside!H$9,Prioritering!E161,"")</f>
        <v/>
      </c>
      <c r="AW165" s="177" t="str">
        <f ca="1">IF(AV165="","",Prioritering!G161)</f>
        <v/>
      </c>
    </row>
    <row r="166" spans="11:49" ht="15" customHeight="1" x14ac:dyDescent="0.25">
      <c r="K166" s="15"/>
      <c r="AL166" s="165" t="str">
        <f ca="1">IF(AM166="","",COUNT(AL$18:AL165)+1)</f>
        <v/>
      </c>
      <c r="AM166" s="165" t="str">
        <f ca="1">IF(Prioritering!K162&gt;=Forside!H$7,Prioritering!E162,"")</f>
        <v/>
      </c>
      <c r="AN166" s="165" t="str">
        <f ca="1">IF(AM166="","",Prioritering!G162)</f>
        <v/>
      </c>
      <c r="AO166" s="159" t="str">
        <f ca="1">IF(AP166="","",COUNT(AO$18:AO165)+1)</f>
        <v/>
      </c>
      <c r="AP166" s="172" t="str">
        <f ca="1">IF(Prioritering!K162&gt;=Forside!H$8,IF(Prioritering!K162&lt;H$7,Prioritering!E162,""),"")</f>
        <v/>
      </c>
      <c r="AQ166" s="159" t="str">
        <f ca="1">IF(AP166="","",Prioritering!G162)</f>
        <v/>
      </c>
      <c r="AR166" s="174" t="str">
        <f ca="1">IF(AS166="","",COUNT(AR$18:AR165)+1)</f>
        <v/>
      </c>
      <c r="AS166" s="174" t="str">
        <f ca="1">IF(Prioritering!K162&gt;=Forside!H$9,IF(Prioritering!K162&lt;H$8,Prioritering!E162,""),"")</f>
        <v/>
      </c>
      <c r="AT166" s="174" t="str">
        <f ca="1">IF(AS166="","",Prioritering!G162)</f>
        <v/>
      </c>
      <c r="AU166" s="177" t="str">
        <f ca="1">IF(AV166="","",COUNT(AU$18:AU165)+1)</f>
        <v/>
      </c>
      <c r="AV166" s="177" t="str">
        <f ca="1">IF(Prioritering!K162&lt;Forside!H$9,Prioritering!E162,"")</f>
        <v/>
      </c>
      <c r="AW166" s="177" t="str">
        <f ca="1">IF(AV166="","",Prioritering!G162)</f>
        <v/>
      </c>
    </row>
    <row r="167" spans="11:49" ht="15" customHeight="1" x14ac:dyDescent="0.25">
      <c r="K167" s="15"/>
      <c r="AL167" s="165" t="str">
        <f ca="1">IF(AM167="","",COUNT(AL$18:AL166)+1)</f>
        <v/>
      </c>
      <c r="AM167" s="165" t="str">
        <f ca="1">IF(Prioritering!K163&gt;=Forside!H$7,Prioritering!E163,"")</f>
        <v/>
      </c>
      <c r="AN167" s="165" t="str">
        <f ca="1">IF(AM167="","",Prioritering!G163)</f>
        <v/>
      </c>
      <c r="AO167" s="159" t="str">
        <f ca="1">IF(AP167="","",COUNT(AO$18:AO166)+1)</f>
        <v/>
      </c>
      <c r="AP167" s="172" t="str">
        <f ca="1">IF(Prioritering!K163&gt;=Forside!H$8,IF(Prioritering!K163&lt;H$7,Prioritering!E163,""),"")</f>
        <v/>
      </c>
      <c r="AQ167" s="159" t="str">
        <f ca="1">IF(AP167="","",Prioritering!G163)</f>
        <v/>
      </c>
      <c r="AR167" s="174" t="str">
        <f ca="1">IF(AS167="","",COUNT(AR$18:AR166)+1)</f>
        <v/>
      </c>
      <c r="AS167" s="174" t="str">
        <f ca="1">IF(Prioritering!K163&gt;=Forside!H$9,IF(Prioritering!K163&lt;H$8,Prioritering!E163,""),"")</f>
        <v/>
      </c>
      <c r="AT167" s="174" t="str">
        <f ca="1">IF(AS167="","",Prioritering!G163)</f>
        <v/>
      </c>
      <c r="AU167" s="177" t="str">
        <f ca="1">IF(AV167="","",COUNT(AU$18:AU166)+1)</f>
        <v/>
      </c>
      <c r="AV167" s="177" t="str">
        <f ca="1">IF(Prioritering!K163&lt;Forside!H$9,Prioritering!E163,"")</f>
        <v/>
      </c>
      <c r="AW167" s="177" t="str">
        <f ca="1">IF(AV167="","",Prioritering!G163)</f>
        <v/>
      </c>
    </row>
    <row r="168" spans="11:49" ht="15" customHeight="1" x14ac:dyDescent="0.25">
      <c r="K168" s="15"/>
      <c r="AL168" s="165" t="str">
        <f ca="1">IF(AM168="","",COUNT(AL$18:AL167)+1)</f>
        <v/>
      </c>
      <c r="AM168" s="165" t="str">
        <f ca="1">IF(Prioritering!K164&gt;=Forside!H$7,Prioritering!E164,"")</f>
        <v/>
      </c>
      <c r="AN168" s="165" t="str">
        <f ca="1">IF(AM168="","",Prioritering!G164)</f>
        <v/>
      </c>
      <c r="AO168" s="159" t="str">
        <f ca="1">IF(AP168="","",COUNT(AO$18:AO167)+1)</f>
        <v/>
      </c>
      <c r="AP168" s="172" t="str">
        <f ca="1">IF(Prioritering!K164&gt;=Forside!H$8,IF(Prioritering!K164&lt;H$7,Prioritering!E164,""),"")</f>
        <v/>
      </c>
      <c r="AQ168" s="159" t="str">
        <f ca="1">IF(AP168="","",Prioritering!G164)</f>
        <v/>
      </c>
      <c r="AR168" s="174" t="str">
        <f ca="1">IF(AS168="","",COUNT(AR$18:AR167)+1)</f>
        <v/>
      </c>
      <c r="AS168" s="174" t="str">
        <f ca="1">IF(Prioritering!K164&gt;=Forside!H$9,IF(Prioritering!K164&lt;H$8,Prioritering!E164,""),"")</f>
        <v/>
      </c>
      <c r="AT168" s="174" t="str">
        <f ca="1">IF(AS168="","",Prioritering!G164)</f>
        <v/>
      </c>
      <c r="AU168" s="177" t="str">
        <f ca="1">IF(AV168="","",COUNT(AU$18:AU167)+1)</f>
        <v/>
      </c>
      <c r="AV168" s="177" t="str">
        <f ca="1">IF(Prioritering!K164&lt;Forside!H$9,Prioritering!E164,"")</f>
        <v/>
      </c>
      <c r="AW168" s="177" t="str">
        <f ca="1">IF(AV168="","",Prioritering!G164)</f>
        <v/>
      </c>
    </row>
    <row r="169" spans="11:49" ht="15" customHeight="1" x14ac:dyDescent="0.25">
      <c r="K169" s="15"/>
      <c r="AL169" s="165" t="str">
        <f ca="1">IF(AM169="","",COUNT(AL$18:AL168)+1)</f>
        <v/>
      </c>
      <c r="AM169" s="165" t="str">
        <f ca="1">IF(Prioritering!K165&gt;=Forside!H$7,Prioritering!E165,"")</f>
        <v/>
      </c>
      <c r="AN169" s="165" t="str">
        <f ca="1">IF(AM169="","",Prioritering!G165)</f>
        <v/>
      </c>
      <c r="AO169" s="159" t="str">
        <f ca="1">IF(AP169="","",COUNT(AO$18:AO168)+1)</f>
        <v/>
      </c>
      <c r="AP169" s="172" t="str">
        <f ca="1">IF(Prioritering!K165&gt;=Forside!H$8,IF(Prioritering!K165&lt;H$7,Prioritering!E165,""),"")</f>
        <v/>
      </c>
      <c r="AQ169" s="159" t="str">
        <f ca="1">IF(AP169="","",Prioritering!G165)</f>
        <v/>
      </c>
      <c r="AR169" s="174" t="str">
        <f ca="1">IF(AS169="","",COUNT(AR$18:AR168)+1)</f>
        <v/>
      </c>
      <c r="AS169" s="174" t="str">
        <f ca="1">IF(Prioritering!K165&gt;=Forside!H$9,IF(Prioritering!K165&lt;H$8,Prioritering!E165,""),"")</f>
        <v/>
      </c>
      <c r="AT169" s="174" t="str">
        <f ca="1">IF(AS169="","",Prioritering!G165)</f>
        <v/>
      </c>
      <c r="AU169" s="177" t="str">
        <f ca="1">IF(AV169="","",COUNT(AU$18:AU168)+1)</f>
        <v/>
      </c>
      <c r="AV169" s="177" t="str">
        <f ca="1">IF(Prioritering!K165&lt;Forside!H$9,Prioritering!E165,"")</f>
        <v/>
      </c>
      <c r="AW169" s="177" t="str">
        <f ca="1">IF(AV169="","",Prioritering!G165)</f>
        <v/>
      </c>
    </row>
    <row r="170" spans="11:49" ht="15" customHeight="1" x14ac:dyDescent="0.25">
      <c r="AP170" s="15"/>
    </row>
    <row r="171" spans="11:49" ht="15" customHeight="1" x14ac:dyDescent="0.25">
      <c r="AP171" s="15"/>
    </row>
    <row r="172" spans="11:49" ht="15" customHeight="1" x14ac:dyDescent="0.25">
      <c r="AP172" s="15"/>
    </row>
    <row r="173" spans="11:49" ht="15" customHeight="1" x14ac:dyDescent="0.25">
      <c r="AP173" s="15"/>
    </row>
    <row r="174" spans="11:49" ht="15" customHeight="1" x14ac:dyDescent="0.25">
      <c r="AP174" s="15"/>
    </row>
    <row r="175" spans="11:49" ht="15" customHeight="1" x14ac:dyDescent="0.25">
      <c r="AP175" s="15"/>
    </row>
    <row r="176" spans="11:49" ht="15" customHeight="1" x14ac:dyDescent="0.25">
      <c r="AP176" s="15"/>
    </row>
    <row r="177" spans="42:42" ht="15" customHeight="1" x14ac:dyDescent="0.25">
      <c r="AP177" s="15"/>
    </row>
    <row r="178" spans="42:42" ht="15" customHeight="1" x14ac:dyDescent="0.25">
      <c r="AP178" s="15"/>
    </row>
    <row r="179" spans="42:42" ht="15" customHeight="1" x14ac:dyDescent="0.25">
      <c r="AP179" s="15"/>
    </row>
    <row r="180" spans="42:42" ht="15" customHeight="1" x14ac:dyDescent="0.25">
      <c r="AP180" s="15"/>
    </row>
    <row r="181" spans="42:42" ht="15" customHeight="1" x14ac:dyDescent="0.25">
      <c r="AP181" s="15"/>
    </row>
    <row r="182" spans="42:42" ht="15" customHeight="1" x14ac:dyDescent="0.25">
      <c r="AP182" s="15"/>
    </row>
    <row r="183" spans="42:42" ht="15" customHeight="1" x14ac:dyDescent="0.25">
      <c r="AP183" s="15"/>
    </row>
    <row r="184" spans="42:42" ht="15" customHeight="1" x14ac:dyDescent="0.25">
      <c r="AP184" s="15"/>
    </row>
    <row r="185" spans="42:42" ht="15" customHeight="1" x14ac:dyDescent="0.25">
      <c r="AP185" s="15"/>
    </row>
    <row r="186" spans="42:42" ht="15" customHeight="1" x14ac:dyDescent="0.25">
      <c r="AP186" s="15"/>
    </row>
    <row r="187" spans="42:42" ht="15" customHeight="1" x14ac:dyDescent="0.25">
      <c r="AP187" s="15"/>
    </row>
    <row r="188" spans="42:42" ht="15" customHeight="1" x14ac:dyDescent="0.25">
      <c r="AP188" s="15"/>
    </row>
    <row r="189" spans="42:42" ht="15" customHeight="1" x14ac:dyDescent="0.25">
      <c r="AP189" s="15"/>
    </row>
    <row r="190" spans="42:42" ht="15" customHeight="1" x14ac:dyDescent="0.25">
      <c r="AP190" s="15"/>
    </row>
    <row r="191" spans="42:42" ht="15" customHeight="1" x14ac:dyDescent="0.25">
      <c r="AP191" s="15"/>
    </row>
    <row r="192" spans="42:42" ht="15" customHeight="1" x14ac:dyDescent="0.25">
      <c r="AP192" s="15"/>
    </row>
    <row r="193" spans="42:42" ht="15" customHeight="1" x14ac:dyDescent="0.25">
      <c r="AP193" s="15"/>
    </row>
    <row r="194" spans="42:42" ht="15" customHeight="1" x14ac:dyDescent="0.25">
      <c r="AP194" s="15"/>
    </row>
    <row r="195" spans="42:42" ht="15" customHeight="1" x14ac:dyDescent="0.25">
      <c r="AP195" s="15"/>
    </row>
    <row r="196" spans="42:42" ht="15" customHeight="1" x14ac:dyDescent="0.25">
      <c r="AP196" s="15"/>
    </row>
    <row r="197" spans="42:42" ht="15" customHeight="1" x14ac:dyDescent="0.25">
      <c r="AP197" s="15"/>
    </row>
  </sheetData>
  <sheetProtection sheet="1" objects="1" scenarios="1"/>
  <mergeCells count="14">
    <mergeCell ref="B9:D9"/>
    <mergeCell ref="B4:D4"/>
    <mergeCell ref="B5:D5"/>
    <mergeCell ref="B6:D6"/>
    <mergeCell ref="B7:D7"/>
    <mergeCell ref="B8:D8"/>
    <mergeCell ref="B16:D16"/>
    <mergeCell ref="B17:D17"/>
    <mergeCell ref="B10:D10"/>
    <mergeCell ref="B11:D11"/>
    <mergeCell ref="B12:D12"/>
    <mergeCell ref="B13:D13"/>
    <mergeCell ref="B14:D14"/>
    <mergeCell ref="B15:D15"/>
  </mergeCells>
  <dataValidations count="1">
    <dataValidation type="decimal" allowBlank="1" showInputMessage="1" showErrorMessage="1" sqref="E4" xr:uid="{9B59F4A4-04B7-4615-AE80-7C7B8A18A47C}">
      <formula1>0</formula1>
      <formula2>1</formula2>
    </dataValidation>
  </dataValidations>
  <pageMargins left="0.7" right="0.7" top="0.75" bottom="0.75" header="0.3" footer="0.3"/>
  <pageSetup paperSize="9" orientation="portrait" r:id="rId1"/>
  <headerFooter>
    <oddFooter>&amp;L&amp;08C:\Users\mjbp\Downloads\stiprioriteringsmodel_20250811.xlsm
Sheet: &amp;A</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6BEC2-8F68-4E93-998F-B0A6752059BA}">
  <sheetPr codeName="Sheet65"/>
  <dimension ref="A1:Q174"/>
  <sheetViews>
    <sheetView view="pageLayout" zoomScale="85" zoomScaleNormal="115" zoomScalePageLayoutView="85" workbookViewId="0">
      <selection activeCell="E6" sqref="E6"/>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7</v>
      </c>
      <c r="C4" s="151"/>
      <c r="D4" s="38" t="s">
        <v>2</v>
      </c>
      <c r="E4" s="115">
        <f>IF(K30&gt;0,K30,"")</f>
        <v>1.95</v>
      </c>
      <c r="G4" s="133" t="s">
        <v>173</v>
      </c>
      <c r="H4" s="124"/>
      <c r="L4" s="139" t="s">
        <v>5</v>
      </c>
      <c r="M4" s="284" t="s">
        <v>466</v>
      </c>
      <c r="N4" s="260"/>
    </row>
    <row r="5" spans="1:14" ht="25" x14ac:dyDescent="0.25">
      <c r="A5" s="37" t="s">
        <v>96</v>
      </c>
      <c r="B5" s="18" t="s">
        <v>208</v>
      </c>
      <c r="C5" s="164" t="s">
        <v>209</v>
      </c>
      <c r="D5" s="38" t="s">
        <v>84</v>
      </c>
      <c r="E5" s="115">
        <f>IF(B9&gt;0,E4/B9,"")</f>
        <v>0.11482661916574044</v>
      </c>
      <c r="G5" s="122" t="s">
        <v>98</v>
      </c>
      <c r="H5" s="123" t="s">
        <v>150</v>
      </c>
    </row>
    <row r="6" spans="1:14" ht="13" thickBot="1" x14ac:dyDescent="0.3">
      <c r="A6" s="38" t="s">
        <v>97</v>
      </c>
      <c r="B6" s="19" t="s">
        <v>210</v>
      </c>
      <c r="C6" s="151"/>
      <c r="D6" s="116" t="s">
        <v>85</v>
      </c>
      <c r="E6" s="117">
        <f>IF(E4="","",IF(E4&gt;=Forside!$H$7,4,IF(E4&gt;=Forside!$H$8,3,IF(E4&gt;=Forside!$H$9,2,IF(E4&gt;0,1,"")))))</f>
        <v>4</v>
      </c>
      <c r="G6" s="38" t="s">
        <v>99</v>
      </c>
      <c r="H6" s="40"/>
    </row>
    <row r="7" spans="1:14" ht="13" thickBot="1" x14ac:dyDescent="0.3">
      <c r="A7" s="38" t="s">
        <v>77</v>
      </c>
      <c r="B7" s="19" t="s">
        <v>192</v>
      </c>
      <c r="C7" s="151"/>
      <c r="D7" s="27"/>
      <c r="E7" s="28"/>
      <c r="G7" s="17" t="s">
        <v>66</v>
      </c>
      <c r="H7" s="42">
        <v>80</v>
      </c>
    </row>
    <row r="8" spans="1:14" ht="13" x14ac:dyDescent="0.3">
      <c r="A8" s="38" t="s">
        <v>91</v>
      </c>
      <c r="B8" s="14">
        <v>4.2</v>
      </c>
      <c r="C8" s="2"/>
      <c r="D8" s="118" t="s">
        <v>87</v>
      </c>
      <c r="E8" s="114"/>
      <c r="G8" s="38" t="s">
        <v>100</v>
      </c>
      <c r="H8" s="14">
        <v>74</v>
      </c>
    </row>
    <row r="9" spans="1:14" ht="13" thickBot="1" x14ac:dyDescent="0.3">
      <c r="A9" s="125" t="s">
        <v>6</v>
      </c>
      <c r="B9" s="20">
        <f>J55/1000000</f>
        <v>16.982125</v>
      </c>
      <c r="C9" s="2"/>
      <c r="D9" s="38" t="s">
        <v>112</v>
      </c>
      <c r="E9" s="119">
        <f>K16</f>
        <v>0.55000000000000004</v>
      </c>
      <c r="G9" s="38" t="s">
        <v>101</v>
      </c>
      <c r="H9" s="14">
        <v>87</v>
      </c>
    </row>
    <row r="10" spans="1:14" x14ac:dyDescent="0.25">
      <c r="C10" s="36"/>
      <c r="D10" s="38" t="s">
        <v>123</v>
      </c>
      <c r="E10" s="120">
        <f>K22</f>
        <v>0.6</v>
      </c>
      <c r="G10" s="38" t="s">
        <v>102</v>
      </c>
      <c r="H10" s="14">
        <v>6</v>
      </c>
    </row>
    <row r="11" spans="1:14" ht="24.75" customHeight="1" thickBot="1" x14ac:dyDescent="0.3">
      <c r="C11" s="36"/>
      <c r="D11" s="116" t="s">
        <v>130</v>
      </c>
      <c r="E11" s="121">
        <f>K26</f>
        <v>0.8</v>
      </c>
    </row>
    <row r="12" spans="1:14" ht="13.5" thickBot="1" x14ac:dyDescent="0.3">
      <c r="A12" s="135" t="s">
        <v>17</v>
      </c>
      <c r="B12" s="105"/>
      <c r="C12" s="17"/>
      <c r="D12" s="17"/>
      <c r="E12"/>
    </row>
    <row r="13" spans="1:14" ht="13" x14ac:dyDescent="0.25">
      <c r="A13" s="261" t="s">
        <v>211</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0.55000000000000004</v>
      </c>
    </row>
    <row r="17" spans="1:11" ht="25.5" thickBot="1" x14ac:dyDescent="0.3">
      <c r="A17" s="5"/>
      <c r="B17" s="5"/>
      <c r="C17" s="5"/>
      <c r="D17" s="5"/>
      <c r="G17" s="61" t="s">
        <v>137</v>
      </c>
      <c r="H17" s="102">
        <f>IF(H10="","",H10)</f>
        <v>6</v>
      </c>
      <c r="I17" s="85">
        <f>Forside!E5</f>
        <v>0.05</v>
      </c>
      <c r="J17" s="62">
        <f>IF(H17="","",IF(H17=0,0,IF(H17&lt;3,1,IF(H17&lt;6,2,IF(H17&lt;10,3,IF(H17&gt;=10,4,""))))))</f>
        <v>3</v>
      </c>
      <c r="K17" s="63">
        <f t="shared" ref="K17:K29" si="0">IF(J17="","",J17*I17)</f>
        <v>0.15000000000000002</v>
      </c>
    </row>
    <row r="18" spans="1:11" ht="12.75" customHeight="1" thickBot="1" x14ac:dyDescent="0.3">
      <c r="A18" s="136" t="s">
        <v>90</v>
      </c>
      <c r="B18" s="52"/>
      <c r="C18" s="109"/>
      <c r="D18" s="109"/>
      <c r="G18" s="41" t="s">
        <v>138</v>
      </c>
      <c r="H18" s="103" t="str">
        <f>IF(H5="","",H5)</f>
        <v>5000+</v>
      </c>
      <c r="I18" s="85">
        <f>Forside!E6</f>
        <v>0.05</v>
      </c>
      <c r="J18" s="64" t="str">
        <f>IF(H18="","",IF(H18="&lt;250",0,IF(H18="250-999",1,IF(H18="1000-2499",2,IF(H18="2500-4999",3,IF(H18="&gt;=5000",4,""))))))</f>
        <v/>
      </c>
      <c r="K18" s="65" t="str">
        <f t="shared" si="0"/>
        <v/>
      </c>
    </row>
    <row r="19" spans="1:11" ht="15.75" customHeight="1" thickBot="1" x14ac:dyDescent="0.3">
      <c r="A19" s="267" t="s">
        <v>212</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87</v>
      </c>
      <c r="I20" s="85">
        <f>Forside!E8</f>
        <v>0.05</v>
      </c>
      <c r="J20" s="66">
        <f>IF(H20="","",IF(H19="","",IF(H20&lt;=H19,0,IF(H20&lt;H19*1.05,1,IF(H20&lt;H19*1.1,2,IF(H20&lt;H19*1.15,3,IF(H20&gt;=H19*1.15,4,"")))))))</f>
        <v>2</v>
      </c>
      <c r="K20" s="65">
        <f t="shared" si="0"/>
        <v>0.1</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0.6</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80</v>
      </c>
      <c r="I24" s="85">
        <f>Forside!E12</f>
        <v>0.1</v>
      </c>
      <c r="J24" s="64">
        <f>IF(H24=A137,B137,IF(H24=A138,B138,(IF(H24=A139,B139,(IF(H24=A140,B140,(IF(H24=A141,B141,""))))))))</f>
        <v>3</v>
      </c>
      <c r="K24" s="65">
        <f t="shared" si="0"/>
        <v>0.30000000000000004</v>
      </c>
    </row>
    <row r="25" spans="1:11" ht="16.5" thickBot="1" x14ac:dyDescent="0.35">
      <c r="A25" s="49" t="s">
        <v>92</v>
      </c>
      <c r="B25" s="51" t="s">
        <v>93</v>
      </c>
      <c r="C25" s="51" t="s">
        <v>94</v>
      </c>
      <c r="D25" s="50" t="s">
        <v>95</v>
      </c>
      <c r="E25" s="39"/>
      <c r="G25" s="75" t="s">
        <v>104</v>
      </c>
      <c r="H25" s="76" t="s">
        <v>55</v>
      </c>
      <c r="I25" s="85">
        <f>Forside!E13</f>
        <v>0.05</v>
      </c>
      <c r="J25" s="77">
        <f>IF(H25=A102,B102,IF(H25=A101,B101,IF(H25=A100,B100,IF(H25=A99,B99,IF(H25=A98,B98,"")))))</f>
        <v>2</v>
      </c>
      <c r="K25" s="78">
        <f t="shared" si="0"/>
        <v>0.1</v>
      </c>
    </row>
    <row r="26" spans="1:11" ht="16.5" thickBot="1" x14ac:dyDescent="0.35">
      <c r="A26" s="154" t="s">
        <v>184</v>
      </c>
      <c r="B26" s="155" t="s">
        <v>184</v>
      </c>
      <c r="C26" s="155">
        <v>9</v>
      </c>
      <c r="D26" s="156">
        <v>0</v>
      </c>
      <c r="E26" s="39"/>
      <c r="G26" s="57" t="s">
        <v>130</v>
      </c>
      <c r="H26" s="58"/>
      <c r="I26" s="59">
        <f>Forside!E14</f>
        <v>0.5</v>
      </c>
      <c r="J26" s="58"/>
      <c r="K26" s="60">
        <f>IF(J27="","",SUM(K27:K29))</f>
        <v>0.8</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155</v>
      </c>
      <c r="I29" s="85">
        <f>Forside!E17</f>
        <v>0.2</v>
      </c>
      <c r="J29" s="129">
        <f>IF(H29=A120,B120,IF(H29=A121,B121,(IF(H29=A122,B122,(IF(H29=A123,B123,(IF(H29=A124,B124,""))))))))</f>
        <v>2</v>
      </c>
      <c r="K29" s="131">
        <f t="shared" si="0"/>
        <v>0.4</v>
      </c>
    </row>
    <row r="30" spans="1:11" ht="14.5" thickBot="1" x14ac:dyDescent="0.35">
      <c r="G30" s="57" t="s">
        <v>3</v>
      </c>
      <c r="H30" s="82"/>
      <c r="I30" s="83"/>
      <c r="J30" s="84"/>
      <c r="K30" s="132">
        <f>IF(Forside!E18="100%",IF(ISNUMBER(K16*K22*K26),K16+K22+K26,""),"Forkert vægtning")</f>
        <v>1.95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435</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3850</v>
      </c>
      <c r="I46" s="141">
        <f>Enhedspriser!C3</f>
        <v>3750</v>
      </c>
      <c r="J46" s="145">
        <f>H46*I46</f>
        <v>14437500</v>
      </c>
      <c r="L46" s="250" t="s">
        <v>172</v>
      </c>
      <c r="M46" s="251"/>
      <c r="N46" s="252"/>
    </row>
    <row r="47" spans="6:14" ht="12.75" customHeight="1" x14ac:dyDescent="0.3">
      <c r="G47" s="140" t="s">
        <v>55</v>
      </c>
      <c r="H47" s="141">
        <v>1</v>
      </c>
      <c r="I47" s="141">
        <f>Enhedspriser!C5</f>
        <v>300000</v>
      </c>
      <c r="J47" s="145">
        <f>H47*I47</f>
        <v>300000</v>
      </c>
      <c r="L47" s="250"/>
      <c r="M47" s="251"/>
      <c r="N47" s="252"/>
    </row>
    <row r="48" spans="6:14" ht="13" x14ac:dyDescent="0.3">
      <c r="G48" s="140" t="s">
        <v>207</v>
      </c>
      <c r="H48" s="141">
        <v>350</v>
      </c>
      <c r="I48" s="141">
        <f>Enhedspriser!C2</f>
        <v>5000</v>
      </c>
      <c r="J48" s="145">
        <f t="shared" ref="J48:J53" si="1">H48*I48</f>
        <v>1750000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494625</v>
      </c>
    </row>
    <row r="55" spans="1:17" ht="27.75" customHeight="1" thickBot="1" x14ac:dyDescent="0.35">
      <c r="G55" s="149" t="s">
        <v>175</v>
      </c>
      <c r="H55" s="150"/>
      <c r="I55" s="150"/>
      <c r="J55" s="146">
        <f>SUM(J46:J54)</f>
        <v>16982125</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disablePrompts="1" count="9">
    <dataValidation type="list" allowBlank="1" showInputMessage="1" showErrorMessage="1" sqref="H27" xr:uid="{62BE8342-1611-4B77-A62C-4DF909D85F3B}">
      <formula1>$A$113:$A$117</formula1>
    </dataValidation>
    <dataValidation type="list" allowBlank="1" showInputMessage="1" showErrorMessage="1" sqref="H25" xr:uid="{4CBA9BB3-84E3-4E80-834E-38A8B871BF34}">
      <formula1>$A$97:$A$102</formula1>
    </dataValidation>
    <dataValidation type="list" allowBlank="1" showInputMessage="1" showErrorMessage="1" sqref="H21" xr:uid="{E92DAC21-C35B-4061-A6FD-3CE026814D0C}">
      <formula1>$A$106:$A$110</formula1>
    </dataValidation>
    <dataValidation type="list" allowBlank="1" showInputMessage="1" showErrorMessage="1" sqref="H28" xr:uid="{AC1B7BEB-E02B-49B6-9C5C-C1B969B56A1B}">
      <formula1>$A$128:$A$132</formula1>
    </dataValidation>
    <dataValidation type="list" allowBlank="1" showInputMessage="1" showErrorMessage="1" sqref="H24" xr:uid="{B9836DE2-E5A8-46A2-AD63-4A61FA288217}">
      <formula1>$A$137:$A$141</formula1>
    </dataValidation>
    <dataValidation type="list" allowBlank="1" showInputMessage="1" showErrorMessage="1" sqref="H29" xr:uid="{EFF4DE73-6624-4256-B9B3-F312AB6768CB}">
      <formula1>$A$120:$A$124</formula1>
    </dataValidation>
    <dataValidation type="list" allowBlank="1" showInputMessage="1" showErrorMessage="1" sqref="H7" xr:uid="{FBD23974-8359-480D-9C32-AB5771670482}">
      <formula1>$A$69:$A$78</formula1>
    </dataValidation>
    <dataValidation type="list" allowBlank="1" showInputMessage="1" showErrorMessage="1" sqref="H23" xr:uid="{A786E51E-D191-47B2-B773-1E15B38FD878}">
      <formula1>$A$88:$A$92</formula1>
    </dataValidation>
    <dataValidation type="list" allowBlank="1" showInputMessage="1" showErrorMessage="1" sqref="H5" xr:uid="{D8B9104A-B9CE-4301-A549-0DEC5CD123D3}">
      <formula1>$A$81:$A$85</formula1>
    </dataValidation>
  </dataValidations>
  <hyperlinks>
    <hyperlink ref="C5" r:id="rId1" xr:uid="{1F8D10C1-4734-4133-AD98-972FDBE1209E}"/>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D1EF67-EF5C-4B39-A7DF-B9D9CF408C23}">
  <sheetPr codeName="Sheet66"/>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8</v>
      </c>
      <c r="C4" s="151"/>
      <c r="D4" s="38" t="s">
        <v>2</v>
      </c>
      <c r="E4" s="115">
        <f>IF(K30&gt;0,K30,"")</f>
        <v>0.85000000000000009</v>
      </c>
      <c r="G4" s="133" t="s">
        <v>173</v>
      </c>
      <c r="H4" s="124"/>
      <c r="L4" s="139" t="s">
        <v>5</v>
      </c>
      <c r="M4" s="284" t="s">
        <v>466</v>
      </c>
      <c r="N4" s="260"/>
    </row>
    <row r="5" spans="1:14" ht="25" x14ac:dyDescent="0.25">
      <c r="A5" s="37" t="s">
        <v>96</v>
      </c>
      <c r="B5" s="18" t="s">
        <v>213</v>
      </c>
      <c r="C5" s="164" t="s">
        <v>214</v>
      </c>
      <c r="D5" s="38" t="s">
        <v>84</v>
      </c>
      <c r="E5" s="115">
        <f>IF(B9&gt;0,E4/B9,"")</f>
        <v>0.14670981661272925</v>
      </c>
      <c r="G5" s="122" t="s">
        <v>98</v>
      </c>
      <c r="H5" s="123" t="s">
        <v>148</v>
      </c>
    </row>
    <row r="6" spans="1:14" ht="13" thickBot="1" x14ac:dyDescent="0.3">
      <c r="A6" s="38" t="s">
        <v>97</v>
      </c>
      <c r="B6" s="19" t="s">
        <v>215</v>
      </c>
      <c r="C6" s="151"/>
      <c r="D6" s="116" t="s">
        <v>85</v>
      </c>
      <c r="E6" s="117">
        <f>IF(E4="","",IF(E4&gt;=Forside!$H$7,4,IF(E4&gt;=Forside!$H$8,3,IF(E4&gt;=Forside!$H$9,2,IF(E4&gt;0,1,"")))))</f>
        <v>2</v>
      </c>
      <c r="G6" s="38" t="s">
        <v>99</v>
      </c>
      <c r="H6" s="40">
        <v>10</v>
      </c>
    </row>
    <row r="7" spans="1:14" ht="13" thickBot="1" x14ac:dyDescent="0.3">
      <c r="A7" s="38" t="s">
        <v>77</v>
      </c>
      <c r="B7" s="19" t="s">
        <v>180</v>
      </c>
      <c r="C7" s="151"/>
      <c r="D7" s="27"/>
      <c r="E7" s="28"/>
      <c r="G7" s="17" t="s">
        <v>66</v>
      </c>
      <c r="H7" s="42">
        <v>80</v>
      </c>
    </row>
    <row r="8" spans="1:14" ht="13" x14ac:dyDescent="0.3">
      <c r="A8" s="38" t="s">
        <v>91</v>
      </c>
      <c r="B8" s="14">
        <v>1.5</v>
      </c>
      <c r="C8" s="2"/>
      <c r="D8" s="118" t="s">
        <v>87</v>
      </c>
      <c r="E8" s="114"/>
      <c r="G8" s="38" t="s">
        <v>100</v>
      </c>
      <c r="H8" s="14">
        <v>70</v>
      </c>
      <c r="I8" s="1" t="s">
        <v>182</v>
      </c>
    </row>
    <row r="9" spans="1:14" ht="13" thickBot="1" x14ac:dyDescent="0.3">
      <c r="A9" s="125" t="s">
        <v>6</v>
      </c>
      <c r="B9" s="20">
        <f>J55/1000000</f>
        <v>5.7937500000000002</v>
      </c>
      <c r="C9" s="2"/>
      <c r="D9" s="38" t="s">
        <v>112</v>
      </c>
      <c r="E9" s="119">
        <f>K16</f>
        <v>0.4</v>
      </c>
      <c r="G9" s="38" t="s">
        <v>101</v>
      </c>
      <c r="H9" s="14">
        <v>75</v>
      </c>
      <c r="I9" s="1" t="s">
        <v>182</v>
      </c>
    </row>
    <row r="10" spans="1:14" x14ac:dyDescent="0.25">
      <c r="C10" s="36"/>
      <c r="D10" s="38" t="s">
        <v>123</v>
      </c>
      <c r="E10" s="120">
        <f>K22</f>
        <v>0.30000000000000004</v>
      </c>
      <c r="G10" s="38" t="s">
        <v>102</v>
      </c>
      <c r="H10" s="14">
        <v>0</v>
      </c>
    </row>
    <row r="11" spans="1:14" ht="24.75" customHeight="1" thickBot="1" x14ac:dyDescent="0.3">
      <c r="C11" s="36"/>
      <c r="D11" s="116" t="s">
        <v>130</v>
      </c>
      <c r="E11" s="121">
        <f>K26</f>
        <v>0.15000000000000002</v>
      </c>
    </row>
    <row r="12" spans="1:14" ht="13.5" thickBot="1" x14ac:dyDescent="0.3">
      <c r="A12" s="135" t="s">
        <v>17</v>
      </c>
      <c r="B12" s="105"/>
      <c r="C12" s="17"/>
      <c r="D12" s="17"/>
      <c r="E12"/>
    </row>
    <row r="13" spans="1:14" ht="13" x14ac:dyDescent="0.25">
      <c r="A13" s="261" t="s">
        <v>216</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53</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75</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53</v>
      </c>
      <c r="I25" s="85">
        <f>Forside!E13</f>
        <v>0.05</v>
      </c>
      <c r="J25" s="77">
        <f>IF(H25=A102,B102,IF(H25=A101,B101,IF(H25=A100,B100,IF(H25=A99,B99,IF(H25=A98,B98,"")))))</f>
        <v>0</v>
      </c>
      <c r="K25" s="78">
        <f t="shared" si="0"/>
        <v>0</v>
      </c>
    </row>
    <row r="26" spans="1:11" ht="16.5" thickBot="1" x14ac:dyDescent="0.35">
      <c r="A26" s="154" t="s">
        <v>184</v>
      </c>
      <c r="B26" s="155" t="s">
        <v>184</v>
      </c>
      <c r="C26" s="155">
        <v>3</v>
      </c>
      <c r="D26" s="156">
        <v>0</v>
      </c>
      <c r="E26" s="39"/>
      <c r="G26" s="57" t="s">
        <v>130</v>
      </c>
      <c r="H26" s="58"/>
      <c r="I26" s="59">
        <f>Forside!E14</f>
        <v>0.5</v>
      </c>
      <c r="J26" s="58"/>
      <c r="K26" s="60">
        <f>IF(J27="","",SUM(K27:K29))</f>
        <v>0.15000000000000002</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0.85000000000000009</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436</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180</v>
      </c>
      <c r="H46" s="141">
        <v>1500</v>
      </c>
      <c r="I46" s="141">
        <f>Enhedspriser!C3</f>
        <v>3750</v>
      </c>
      <c r="J46" s="145">
        <f>H46*I46</f>
        <v>5625000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168750</v>
      </c>
    </row>
    <row r="55" spans="1:17" ht="27.75" customHeight="1" thickBot="1" x14ac:dyDescent="0.35">
      <c r="G55" s="149" t="s">
        <v>175</v>
      </c>
      <c r="H55" s="150"/>
      <c r="I55" s="150"/>
      <c r="J55" s="146">
        <f>SUM(J46:J54)</f>
        <v>5793750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C82E2ABE-E38D-408F-B53A-AA11D7649F7C}">
      <formula1>$A$113:$A$117</formula1>
    </dataValidation>
    <dataValidation type="list" allowBlank="1" showInputMessage="1" showErrorMessage="1" sqref="H25" xr:uid="{00C8EF0F-DA40-470B-B813-15759ABC0B83}">
      <formula1>$A$97:$A$102</formula1>
    </dataValidation>
    <dataValidation type="list" allowBlank="1" showInputMessage="1" showErrorMessage="1" sqref="H21" xr:uid="{FD47E9E1-E477-4940-8CD1-95B095A1FFE7}">
      <formula1>$A$106:$A$110</formula1>
    </dataValidation>
    <dataValidation type="list" allowBlank="1" showInputMessage="1" showErrorMessage="1" sqref="H28" xr:uid="{7900A16C-33FD-4F96-9D21-5494C4930B22}">
      <formula1>$A$128:$A$132</formula1>
    </dataValidation>
    <dataValidation type="list" allowBlank="1" showInputMessage="1" showErrorMessage="1" sqref="H24" xr:uid="{9EB08863-BBC9-4CB1-9D1E-5A00C0F44591}">
      <formula1>$A$137:$A$141</formula1>
    </dataValidation>
    <dataValidation type="list" allowBlank="1" showInputMessage="1" showErrorMessage="1" sqref="H29" xr:uid="{8FC03102-1A6B-45B6-9B45-BC8140E45FBC}">
      <formula1>$A$120:$A$124</formula1>
    </dataValidation>
    <dataValidation type="list" allowBlank="1" showInputMessage="1" showErrorMessage="1" sqref="H7" xr:uid="{EE49A273-B66C-4DEF-9897-B71628E93B74}">
      <formula1>$A$69:$A$78</formula1>
    </dataValidation>
    <dataValidation type="list" allowBlank="1" showInputMessage="1" showErrorMessage="1" sqref="H23" xr:uid="{9C3A2889-9E0A-433B-AE79-8BFDE2F8954C}">
      <formula1>$A$88:$A$92</formula1>
    </dataValidation>
    <dataValidation type="list" allowBlank="1" showInputMessage="1" showErrorMessage="1" sqref="H5" xr:uid="{FA13B2C2-7804-4986-9A40-9B7FD68F25F9}">
      <formula1>$A$81:$A$85</formula1>
    </dataValidation>
  </dataValidations>
  <hyperlinks>
    <hyperlink ref="C5" r:id="rId1" xr:uid="{589D049B-4785-4CBD-A1D7-CF03CEBAE761}"/>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6600AC-1A99-4D7C-BA69-3A7B36F64AF9}">
  <sheetPr codeName="Sheet67"/>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9</v>
      </c>
      <c r="C4" s="151"/>
      <c r="D4" s="38" t="s">
        <v>2</v>
      </c>
      <c r="E4" s="115">
        <f>IF(K30&gt;0,K30,"")</f>
        <v>2</v>
      </c>
      <c r="G4" s="133" t="s">
        <v>173</v>
      </c>
      <c r="H4" s="124"/>
      <c r="L4" s="139" t="s">
        <v>5</v>
      </c>
      <c r="M4" s="284" t="s">
        <v>466</v>
      </c>
      <c r="N4" s="260"/>
    </row>
    <row r="5" spans="1:14" ht="25" x14ac:dyDescent="0.25">
      <c r="A5" s="37" t="s">
        <v>96</v>
      </c>
      <c r="B5" s="18" t="s">
        <v>217</v>
      </c>
      <c r="C5" s="164" t="s">
        <v>218</v>
      </c>
      <c r="D5" s="38" t="s">
        <v>84</v>
      </c>
      <c r="E5" s="115">
        <f>IF(B9&gt;0,E4/B9,"")</f>
        <v>0.22710497927667064</v>
      </c>
      <c r="G5" s="122" t="s">
        <v>98</v>
      </c>
      <c r="H5" s="123" t="s">
        <v>149</v>
      </c>
      <c r="I5" s="1" t="s">
        <v>182</v>
      </c>
    </row>
    <row r="6" spans="1:14" ht="13" thickBot="1" x14ac:dyDescent="0.3">
      <c r="A6" s="38" t="s">
        <v>97</v>
      </c>
      <c r="B6" s="19" t="s">
        <v>219</v>
      </c>
      <c r="C6" s="151"/>
      <c r="D6" s="116" t="s">
        <v>85</v>
      </c>
      <c r="E6" s="117">
        <f>IF(E4="","",IF(E4&gt;=Forside!$H$7,4,IF(E4&gt;=Forside!$H$8,3,IF(E4&gt;=Forside!$H$9,2,IF(E4&gt;0,1,"")))))</f>
        <v>4</v>
      </c>
      <c r="G6" s="38" t="s">
        <v>99</v>
      </c>
      <c r="H6" s="40">
        <v>100</v>
      </c>
      <c r="I6" s="5" t="s">
        <v>220</v>
      </c>
    </row>
    <row r="7" spans="1:14" ht="13" thickBot="1" x14ac:dyDescent="0.3">
      <c r="A7" s="38" t="s">
        <v>77</v>
      </c>
      <c r="B7" s="19" t="s">
        <v>180</v>
      </c>
      <c r="C7" s="151"/>
      <c r="D7" s="27"/>
      <c r="E7" s="28"/>
      <c r="G7" s="17" t="s">
        <v>66</v>
      </c>
      <c r="H7" s="42">
        <v>40</v>
      </c>
    </row>
    <row r="8" spans="1:14" ht="13" x14ac:dyDescent="0.3">
      <c r="A8" s="38" t="s">
        <v>91</v>
      </c>
      <c r="B8" s="14">
        <v>2.2000000000000002</v>
      </c>
      <c r="C8" s="2"/>
      <c r="D8" s="118" t="s">
        <v>87</v>
      </c>
      <c r="E8" s="114"/>
      <c r="G8" s="38" t="s">
        <v>100</v>
      </c>
      <c r="H8" s="14">
        <v>40</v>
      </c>
      <c r="I8" s="1" t="s">
        <v>182</v>
      </c>
    </row>
    <row r="9" spans="1:14" ht="13" thickBot="1" x14ac:dyDescent="0.3">
      <c r="A9" s="125" t="s">
        <v>6</v>
      </c>
      <c r="B9" s="20">
        <f>J55/1000000</f>
        <v>8.8064999999999998</v>
      </c>
      <c r="C9" s="2"/>
      <c r="D9" s="38" t="s">
        <v>112</v>
      </c>
      <c r="E9" s="119">
        <f>K16</f>
        <v>0.55000000000000004</v>
      </c>
      <c r="G9" s="38" t="s">
        <v>101</v>
      </c>
      <c r="H9" s="14">
        <v>50</v>
      </c>
      <c r="I9" s="1" t="s">
        <v>182</v>
      </c>
    </row>
    <row r="10" spans="1:14" x14ac:dyDescent="0.25">
      <c r="C10" s="36"/>
      <c r="D10" s="38" t="s">
        <v>123</v>
      </c>
      <c r="E10" s="120">
        <f>K22</f>
        <v>0.35000000000000003</v>
      </c>
      <c r="G10" s="38" t="s">
        <v>102</v>
      </c>
      <c r="H10" s="14">
        <v>1</v>
      </c>
    </row>
    <row r="11" spans="1:14" ht="24.75" customHeight="1" thickBot="1" x14ac:dyDescent="0.3">
      <c r="C11" s="36"/>
      <c r="D11" s="116" t="s">
        <v>130</v>
      </c>
      <c r="E11" s="121">
        <f>K26</f>
        <v>1.1000000000000001</v>
      </c>
    </row>
    <row r="12" spans="1:14" ht="13.5" thickBot="1" x14ac:dyDescent="0.3">
      <c r="A12" s="135" t="s">
        <v>17</v>
      </c>
      <c r="B12" s="105"/>
      <c r="C12" s="17"/>
      <c r="D12" s="17"/>
      <c r="E12"/>
    </row>
    <row r="13" spans="1:14" ht="13" x14ac:dyDescent="0.25">
      <c r="A13" s="261" t="s">
        <v>221</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0.55000000000000004</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222</v>
      </c>
      <c r="B19" s="268"/>
      <c r="C19" s="112"/>
      <c r="D19" s="112"/>
      <c r="E19" s="39"/>
      <c r="G19" s="41" t="s">
        <v>66</v>
      </c>
      <c r="H19" s="104">
        <f>IF(H7="","",H7)</f>
        <v>40</v>
      </c>
      <c r="I19" s="85">
        <f>Forside!E7</f>
        <v>0.05</v>
      </c>
      <c r="J19" s="64">
        <f>IF(H19=A69,B69,IF(H19=A70,B70,IF(H19=A71,B71,IF(H19=A72,B72,IF(H19=A73,B73,IF(H19=A74,B74,IF(H19=A75,B75,IF(H19=A76,B76,IF(H19=A77,B77,IF(H19=A78,B78,""))))))))))</f>
        <v>0</v>
      </c>
      <c r="K19" s="65">
        <f t="shared" si="0"/>
        <v>0</v>
      </c>
    </row>
    <row r="20" spans="1:11" ht="15.75" customHeight="1" thickBot="1" x14ac:dyDescent="0.3">
      <c r="A20" s="269"/>
      <c r="B20" s="270"/>
      <c r="C20" s="112"/>
      <c r="D20" s="112"/>
      <c r="E20" s="39"/>
      <c r="G20" s="41" t="s">
        <v>89</v>
      </c>
      <c r="H20" s="104">
        <f>IF(H9="","",H9)</f>
        <v>50</v>
      </c>
      <c r="I20" s="85">
        <f>Forside!E8</f>
        <v>0.05</v>
      </c>
      <c r="J20" s="66">
        <f>IF(H20="","",IF(H19="","",IF(H20&lt;=H19,0,IF(H20&lt;H19*1.05,1,IF(H20&lt;H19*1.1,2,IF(H20&lt;H19*1.15,3,IF(H20&gt;=H19*1.15,4,"")))))))</f>
        <v>4</v>
      </c>
      <c r="K20" s="65">
        <f t="shared" si="0"/>
        <v>0.2</v>
      </c>
    </row>
    <row r="21" spans="1:11" ht="16.5" thickBot="1" x14ac:dyDescent="0.3">
      <c r="A21" s="269"/>
      <c r="B21" s="270"/>
      <c r="C21" s="112"/>
      <c r="D21" s="112"/>
      <c r="E21" s="39"/>
      <c r="G21" s="101" t="s">
        <v>122</v>
      </c>
      <c r="H21" s="67" t="s">
        <v>152</v>
      </c>
      <c r="I21" s="85">
        <f>Forside!E9</f>
        <v>0.05</v>
      </c>
      <c r="J21" s="64">
        <f>IF(H21=A106,B106,IF(H21=A107,B107,(IF(H21=A108,B108,(IF(H21=A109,B109,(IF(H21=A110,B110,""))))))))</f>
        <v>4</v>
      </c>
      <c r="K21" s="65">
        <f t="shared" si="0"/>
        <v>0.2</v>
      </c>
    </row>
    <row r="22" spans="1:11" ht="16.5" thickBot="1" x14ac:dyDescent="0.35">
      <c r="A22" s="269"/>
      <c r="B22" s="270"/>
      <c r="C22" s="112"/>
      <c r="D22" s="112"/>
      <c r="E22" s="39"/>
      <c r="G22" s="57" t="s">
        <v>123</v>
      </c>
      <c r="H22" s="68"/>
      <c r="I22" s="59">
        <f>Forside!E10</f>
        <v>0.25</v>
      </c>
      <c r="J22" s="68"/>
      <c r="K22" s="69">
        <f>IF(J23="","",SUM(K23:K25))</f>
        <v>0.35000000000000003</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54</v>
      </c>
      <c r="I25" s="85">
        <f>Forside!E13</f>
        <v>0.05</v>
      </c>
      <c r="J25" s="77">
        <f>IF(H25=A102,B102,IF(H25=A101,B101,IF(H25=A100,B100,IF(H25=A99,B99,IF(H25=A98,B98,"")))))</f>
        <v>1</v>
      </c>
      <c r="K25" s="78">
        <f t="shared" si="0"/>
        <v>0.05</v>
      </c>
    </row>
    <row r="26" spans="1:11" ht="16.5" thickBot="1" x14ac:dyDescent="0.35">
      <c r="A26" s="154" t="s">
        <v>184</v>
      </c>
      <c r="B26" s="155" t="s">
        <v>184</v>
      </c>
      <c r="C26" s="155" t="s">
        <v>12</v>
      </c>
      <c r="D26" s="156">
        <v>0</v>
      </c>
      <c r="E26" s="39"/>
      <c r="G26" s="57" t="s">
        <v>130</v>
      </c>
      <c r="H26" s="58"/>
      <c r="I26" s="59">
        <f>Forside!E14</f>
        <v>0.5</v>
      </c>
      <c r="J26" s="58"/>
      <c r="K26" s="60">
        <f>IF(J27="","",SUM(K27:K29))</f>
        <v>1.1000000000000001</v>
      </c>
    </row>
    <row r="27" spans="1:11" ht="16.5" thickBot="1" x14ac:dyDescent="0.35">
      <c r="E27" s="39"/>
      <c r="G27" s="79" t="s">
        <v>141</v>
      </c>
      <c r="H27" s="80" t="s">
        <v>110</v>
      </c>
      <c r="I27" s="85">
        <f>Forside!E15</f>
        <v>0.25</v>
      </c>
      <c r="J27" s="127">
        <f>IF(H27=A113,B113,IF(H27=A114,B114,(IF(H27=A115,B115,(IF(H27=A116,B116,(IF(H27=A117,B117,""))))))))</f>
        <v>2</v>
      </c>
      <c r="K27" s="130">
        <f t="shared" si="0"/>
        <v>0.5</v>
      </c>
    </row>
    <row r="28" spans="1:11" ht="14.5" thickBot="1" x14ac:dyDescent="0.3">
      <c r="G28" s="41" t="s">
        <v>62</v>
      </c>
      <c r="H28" s="74" t="s">
        <v>63</v>
      </c>
      <c r="I28" s="85">
        <f>Forside!E16</f>
        <v>0.05</v>
      </c>
      <c r="J28" s="128">
        <f>IF(H28=A128,B128,IF(H28=A129,B129,(IF(H28=A130,B130,(IF(H28=A131,B131,(IF(H28=A132,B132,""))))))))</f>
        <v>4</v>
      </c>
      <c r="K28" s="131">
        <f t="shared" si="0"/>
        <v>0.2</v>
      </c>
    </row>
    <row r="29" spans="1:11" ht="14.5" thickBot="1" x14ac:dyDescent="0.3">
      <c r="G29" s="41" t="s">
        <v>136</v>
      </c>
      <c r="H29" s="81" t="s">
        <v>155</v>
      </c>
      <c r="I29" s="85">
        <f>Forside!E17</f>
        <v>0.2</v>
      </c>
      <c r="J29" s="129">
        <f>IF(H29=A120,B120,IF(H29=A121,B121,(IF(H29=A122,B122,(IF(H29=A123,B123,(IF(H29=A124,B124,""))))))))</f>
        <v>2</v>
      </c>
      <c r="K29" s="131">
        <f t="shared" si="0"/>
        <v>0.4</v>
      </c>
    </row>
    <row r="30" spans="1:11" ht="14.5" thickBot="1" x14ac:dyDescent="0.35">
      <c r="G30" s="57" t="s">
        <v>3</v>
      </c>
      <c r="H30" s="82"/>
      <c r="I30" s="83"/>
      <c r="J30" s="84"/>
      <c r="K30" s="132">
        <f>IF(Forside!E18="100%",IF(ISNUMBER(K16*K22*K26),K16+K22+K26,""),"Forkert vægtning")</f>
        <v>2</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437</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180</v>
      </c>
      <c r="H46" s="141">
        <v>2200</v>
      </c>
      <c r="I46" s="141">
        <f>Enhedspriser!C3</f>
        <v>3750</v>
      </c>
      <c r="J46" s="145">
        <f>H46*I46</f>
        <v>8250000</v>
      </c>
      <c r="L46" s="250" t="s">
        <v>172</v>
      </c>
      <c r="M46" s="251"/>
      <c r="N46" s="252"/>
    </row>
    <row r="47" spans="6:14" ht="12.75" customHeight="1" x14ac:dyDescent="0.3">
      <c r="G47" s="140" t="s">
        <v>223</v>
      </c>
      <c r="H47" s="141">
        <v>1</v>
      </c>
      <c r="I47" s="141">
        <f>Enhedspriser!C7</f>
        <v>300000</v>
      </c>
      <c r="J47" s="145">
        <f>H47*I47</f>
        <v>300000</v>
      </c>
      <c r="K47" s="5" t="s">
        <v>224</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256500</v>
      </c>
    </row>
    <row r="55" spans="1:17" ht="27.75" customHeight="1" thickBot="1" x14ac:dyDescent="0.35">
      <c r="G55" s="149" t="s">
        <v>175</v>
      </c>
      <c r="H55" s="150"/>
      <c r="I55" s="150"/>
      <c r="J55" s="146">
        <f>SUM(J46:J54)</f>
        <v>8806500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1A20A994-5EA7-4F5F-B0C5-471CF83B91B8}">
      <formula1>$A$113:$A$117</formula1>
    </dataValidation>
    <dataValidation type="list" allowBlank="1" showInputMessage="1" showErrorMessage="1" sqref="H25" xr:uid="{A0975803-9DD5-4855-A650-321594F42C34}">
      <formula1>$A$97:$A$102</formula1>
    </dataValidation>
    <dataValidation type="list" allowBlank="1" showInputMessage="1" showErrorMessage="1" sqref="H21" xr:uid="{9A24656B-B74D-43DC-8B0A-8A22764DB20A}">
      <formula1>$A$106:$A$110</formula1>
    </dataValidation>
    <dataValidation type="list" allowBlank="1" showInputMessage="1" showErrorMessage="1" sqref="H28" xr:uid="{53FCD9DA-6DAA-4297-B7AA-5F1BB8FF95B4}">
      <formula1>$A$128:$A$132</formula1>
    </dataValidation>
    <dataValidation type="list" allowBlank="1" showInputMessage="1" showErrorMessage="1" sqref="H24" xr:uid="{1C3BCCA9-1587-4C62-8F32-B823E3E75622}">
      <formula1>$A$137:$A$141</formula1>
    </dataValidation>
    <dataValidation type="list" allowBlank="1" showInputMessage="1" showErrorMessage="1" sqref="H29" xr:uid="{6E6127E7-475F-4F70-AC4F-6ED15DC8F469}">
      <formula1>$A$120:$A$124</formula1>
    </dataValidation>
    <dataValidation type="list" allowBlank="1" showInputMessage="1" showErrorMessage="1" sqref="H7" xr:uid="{B2BEAE13-8DDA-46B8-A5C3-B1B6D79D6B9C}">
      <formula1>$A$69:$A$78</formula1>
    </dataValidation>
    <dataValidation type="list" allowBlank="1" showInputMessage="1" showErrorMessage="1" sqref="H23" xr:uid="{0102BB6A-1CC8-4EF7-8E5F-513A3F561CBC}">
      <formula1>$A$88:$A$92</formula1>
    </dataValidation>
    <dataValidation type="list" allowBlank="1" showInputMessage="1" showErrorMessage="1" sqref="H5" xr:uid="{405C194F-59BE-4764-B161-B3D5C919F88F}">
      <formula1>$A$81:$A$85</formula1>
    </dataValidation>
  </dataValidations>
  <hyperlinks>
    <hyperlink ref="C5" r:id="rId1" xr:uid="{94A5FA57-BE31-4CBE-A07D-5E43C1093047}"/>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526162-3AF3-4A3C-8BC3-7F54D2652752}">
  <sheetPr codeName="Sheet68"/>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10</v>
      </c>
      <c r="C4" s="151"/>
      <c r="D4" s="38" t="s">
        <v>2</v>
      </c>
      <c r="E4" s="115">
        <f>IF(K30&gt;0,K30,"")</f>
        <v>1.4500000000000002</v>
      </c>
      <c r="G4" s="133" t="s">
        <v>173</v>
      </c>
      <c r="H4" s="124"/>
      <c r="L4" s="139" t="s">
        <v>5</v>
      </c>
      <c r="M4" s="284" t="s">
        <v>466</v>
      </c>
      <c r="N4" s="260"/>
    </row>
    <row r="5" spans="1:14" ht="25" x14ac:dyDescent="0.25">
      <c r="A5" s="37" t="s">
        <v>96</v>
      </c>
      <c r="B5" s="18" t="s">
        <v>225</v>
      </c>
      <c r="C5" s="164" t="s">
        <v>438</v>
      </c>
      <c r="D5" s="38" t="s">
        <v>84</v>
      </c>
      <c r="E5" s="115">
        <f>IF(B9&gt;0,E4/B9,"")</f>
        <v>0.31283710895361388</v>
      </c>
      <c r="G5" s="122" t="s">
        <v>98</v>
      </c>
      <c r="H5" s="123" t="s">
        <v>139</v>
      </c>
    </row>
    <row r="6" spans="1:14" ht="13" thickBot="1" x14ac:dyDescent="0.3">
      <c r="A6" s="38" t="s">
        <v>97</v>
      </c>
      <c r="B6" s="19" t="s">
        <v>226</v>
      </c>
      <c r="C6" s="151"/>
      <c r="D6" s="116" t="s">
        <v>85</v>
      </c>
      <c r="E6" s="117">
        <f>IF(E4="","",IF(E4&gt;=Forside!$H$7,4,IF(E4&gt;=Forside!$H$8,3,IF(E4&gt;=Forside!$H$9,2,IF(E4&gt;0,1,"")))))</f>
        <v>3</v>
      </c>
      <c r="G6" s="38" t="s">
        <v>99</v>
      </c>
      <c r="H6" s="40"/>
    </row>
    <row r="7" spans="1:14" ht="13" thickBot="1" x14ac:dyDescent="0.3">
      <c r="A7" s="38" t="s">
        <v>77</v>
      </c>
      <c r="B7" s="19" t="s">
        <v>192</v>
      </c>
      <c r="C7" s="151"/>
      <c r="D7" s="27"/>
      <c r="E7" s="28"/>
      <c r="G7" s="17" t="s">
        <v>66</v>
      </c>
      <c r="H7" s="42">
        <v>80</v>
      </c>
    </row>
    <row r="8" spans="1:14" ht="13" x14ac:dyDescent="0.3">
      <c r="A8" s="38" t="s">
        <v>91</v>
      </c>
      <c r="B8" s="14">
        <v>1.2</v>
      </c>
      <c r="C8" s="2"/>
      <c r="D8" s="118" t="s">
        <v>87</v>
      </c>
      <c r="E8" s="114"/>
      <c r="G8" s="38" t="s">
        <v>100</v>
      </c>
      <c r="H8" s="14">
        <v>71</v>
      </c>
    </row>
    <row r="9" spans="1:14" ht="13" thickBot="1" x14ac:dyDescent="0.3">
      <c r="A9" s="125" t="s">
        <v>6</v>
      </c>
      <c r="B9" s="20">
        <f>J55/1000000</f>
        <v>4.6349999999999998</v>
      </c>
      <c r="C9" s="2"/>
      <c r="D9" s="38" t="s">
        <v>112</v>
      </c>
      <c r="E9" s="119">
        <f>K16</f>
        <v>0.55000000000000004</v>
      </c>
      <c r="G9" s="38" t="s">
        <v>101</v>
      </c>
      <c r="H9" s="14">
        <v>80</v>
      </c>
    </row>
    <row r="10" spans="1:14" x14ac:dyDescent="0.25">
      <c r="C10" s="36"/>
      <c r="D10" s="38" t="s">
        <v>123</v>
      </c>
      <c r="E10" s="120">
        <f>K22</f>
        <v>0.30000000000000004</v>
      </c>
      <c r="G10" s="38" t="s">
        <v>102</v>
      </c>
      <c r="H10" s="14">
        <v>3</v>
      </c>
    </row>
    <row r="11" spans="1:14" ht="24.75" customHeight="1" thickBot="1" x14ac:dyDescent="0.3">
      <c r="C11" s="36"/>
      <c r="D11" s="116" t="s">
        <v>130</v>
      </c>
      <c r="E11" s="121">
        <f>K26</f>
        <v>0.6</v>
      </c>
    </row>
    <row r="12" spans="1:14" ht="13.5" thickBot="1" x14ac:dyDescent="0.3">
      <c r="A12" s="135" t="s">
        <v>17</v>
      </c>
      <c r="B12" s="105"/>
      <c r="C12" s="17"/>
      <c r="D12" s="17"/>
      <c r="E12"/>
    </row>
    <row r="13" spans="1:14" ht="13" x14ac:dyDescent="0.25">
      <c r="A13" s="261" t="s">
        <v>227</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0.55000000000000004</v>
      </c>
    </row>
    <row r="17" spans="1:11" ht="25.5" thickBot="1" x14ac:dyDescent="0.3">
      <c r="A17" s="5"/>
      <c r="B17" s="5"/>
      <c r="C17" s="5"/>
      <c r="D17" s="5"/>
      <c r="G17" s="61" t="s">
        <v>137</v>
      </c>
      <c r="H17" s="102">
        <f>IF(H10="","",H10)</f>
        <v>3</v>
      </c>
      <c r="I17" s="85">
        <f>Forside!E5</f>
        <v>0.05</v>
      </c>
      <c r="J17" s="62">
        <f>IF(H17="","",IF(H17=0,0,IF(H17&lt;3,1,IF(H17&lt;6,2,IF(H17&lt;10,3,IF(H17&gt;=10,4,""))))))</f>
        <v>2</v>
      </c>
      <c r="K17" s="63">
        <f t="shared" ref="K17:K29" si="0">IF(J17="","",J17*I17)</f>
        <v>0.1</v>
      </c>
    </row>
    <row r="18" spans="1:11" ht="12.75" customHeight="1" thickBot="1" x14ac:dyDescent="0.3">
      <c r="A18" s="136" t="s">
        <v>90</v>
      </c>
      <c r="B18" s="52"/>
      <c r="C18" s="109"/>
      <c r="D18" s="109"/>
      <c r="G18" s="41" t="s">
        <v>138</v>
      </c>
      <c r="H18" s="103" t="str">
        <f>IF(H5="","",H5)</f>
        <v>2500-4999</v>
      </c>
      <c r="I18" s="85">
        <f>Forside!E6</f>
        <v>0.05</v>
      </c>
      <c r="J18" s="64">
        <f>IF(H18="","",IF(H18="&lt;250",0,IF(H18="250-999",1,IF(H18="1000-2499",2,IF(H18="2500-4999",3,IF(H18="&gt;=5000",4,""))))))</f>
        <v>3</v>
      </c>
      <c r="K18" s="65">
        <f t="shared" si="0"/>
        <v>0.15000000000000002</v>
      </c>
    </row>
    <row r="19" spans="1:11" ht="15.75" customHeight="1" thickBot="1" x14ac:dyDescent="0.3">
      <c r="A19" s="267" t="s">
        <v>228</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0</v>
      </c>
      <c r="D26" s="156">
        <v>0</v>
      </c>
      <c r="E26" s="39"/>
      <c r="G26" s="57" t="s">
        <v>130</v>
      </c>
      <c r="H26" s="58"/>
      <c r="I26" s="59">
        <f>Forside!E14</f>
        <v>0.5</v>
      </c>
      <c r="J26" s="58"/>
      <c r="K26" s="60">
        <f>IF(J27="","",SUM(K27:K29))</f>
        <v>0.6</v>
      </c>
    </row>
    <row r="27" spans="1:11" ht="16.5" thickBot="1" x14ac:dyDescent="0.35">
      <c r="E27" s="39"/>
      <c r="G27" s="79" t="s">
        <v>141</v>
      </c>
      <c r="H27" s="80" t="s">
        <v>110</v>
      </c>
      <c r="I27" s="85">
        <f>Forside!E15</f>
        <v>0.25</v>
      </c>
      <c r="J27" s="127">
        <f>IF(H27=A113,B113,IF(H27=A114,B114,(IF(H27=A115,B115,(IF(H27=A116,B116,(IF(H27=A117,B117,""))))))))</f>
        <v>2</v>
      </c>
      <c r="K27" s="130">
        <f t="shared" si="0"/>
        <v>0.5</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1.4500000000000002</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435</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1200</v>
      </c>
      <c r="I46" s="141">
        <f>Enhedspriser!C3</f>
        <v>3750</v>
      </c>
      <c r="J46" s="145">
        <f>H46*I46</f>
        <v>4500000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135000</v>
      </c>
    </row>
    <row r="55" spans="1:17" ht="27.75" customHeight="1" thickBot="1" x14ac:dyDescent="0.35">
      <c r="G55" s="149" t="s">
        <v>175</v>
      </c>
      <c r="H55" s="150"/>
      <c r="I55" s="150"/>
      <c r="J55" s="146">
        <f>SUM(J46:J54)</f>
        <v>4635000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240DB88D-BE77-46B9-BD41-D27EFC0BA691}">
      <formula1>$A$113:$A$117</formula1>
    </dataValidation>
    <dataValidation type="list" allowBlank="1" showInputMessage="1" showErrorMessage="1" sqref="H25" xr:uid="{103CFFC5-6044-414D-8C8E-3A7814E1D36C}">
      <formula1>$A$97:$A$102</formula1>
    </dataValidation>
    <dataValidation type="list" allowBlank="1" showInputMessage="1" showErrorMessage="1" sqref="H21" xr:uid="{9FBB8C45-1BAC-4BB1-B549-B5F858C93031}">
      <formula1>$A$106:$A$110</formula1>
    </dataValidation>
    <dataValidation type="list" allowBlank="1" showInputMessage="1" showErrorMessage="1" sqref="H28" xr:uid="{7CF0AA5F-0F8C-4527-AF8B-16C8BC8D674B}">
      <formula1>$A$128:$A$132</formula1>
    </dataValidation>
    <dataValidation type="list" allowBlank="1" showInputMessage="1" showErrorMessage="1" sqref="H24" xr:uid="{15AE41E5-4D7A-46B7-B106-B42783CA45C1}">
      <formula1>$A$137:$A$141</formula1>
    </dataValidation>
    <dataValidation type="list" allowBlank="1" showInputMessage="1" showErrorMessage="1" sqref="H29" xr:uid="{6434B8C8-24A9-4CBD-8DD3-39197BD37DF8}">
      <formula1>$A$120:$A$124</formula1>
    </dataValidation>
    <dataValidation type="list" allowBlank="1" showInputMessage="1" showErrorMessage="1" sqref="H7" xr:uid="{50EA3C59-E14A-42C6-ADCE-2A3472E8EF66}">
      <formula1>$A$69:$A$78</formula1>
    </dataValidation>
    <dataValidation type="list" allowBlank="1" showInputMessage="1" showErrorMessage="1" sqref="H23" xr:uid="{29EA0F17-EEE1-4BA0-B5DB-52C31D59156B}">
      <formula1>$A$88:$A$92</formula1>
    </dataValidation>
    <dataValidation type="list" allowBlank="1" showInputMessage="1" showErrorMessage="1" sqref="H5" xr:uid="{B52CF172-5154-4B1A-9B4A-BFF157CC5747}">
      <formula1>$A$81:$A$85</formula1>
    </dataValidation>
  </dataValidations>
  <hyperlinks>
    <hyperlink ref="C5" r:id="rId1" xr:uid="{C57B53D4-47FE-4852-8900-39A28B66D740}"/>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202F8F-9D1F-46F7-923A-0CF534A78548}">
  <sheetPr codeName="Sheet69"/>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11</v>
      </c>
      <c r="C4" s="151"/>
      <c r="D4" s="38" t="s">
        <v>2</v>
      </c>
      <c r="E4" s="115">
        <f>IF(K30&gt;0,K30,"")</f>
        <v>2.2000000000000002</v>
      </c>
      <c r="G4" s="133" t="s">
        <v>173</v>
      </c>
      <c r="H4" s="124"/>
      <c r="L4" s="139" t="s">
        <v>5</v>
      </c>
      <c r="M4" s="284" t="s">
        <v>466</v>
      </c>
      <c r="N4" s="260"/>
    </row>
    <row r="5" spans="1:14" ht="25" x14ac:dyDescent="0.25">
      <c r="A5" s="37" t="s">
        <v>96</v>
      </c>
      <c r="B5" s="18" t="s">
        <v>229</v>
      </c>
      <c r="C5" s="164" t="s">
        <v>230</v>
      </c>
      <c r="D5" s="38" t="s">
        <v>84</v>
      </c>
      <c r="E5" s="115">
        <f>IF(B9&gt;0,E4/B9,"")</f>
        <v>0.16273693943596856</v>
      </c>
      <c r="G5" s="122" t="s">
        <v>98</v>
      </c>
      <c r="H5" s="123" t="s">
        <v>148</v>
      </c>
    </row>
    <row r="6" spans="1:14" ht="13" thickBot="1" x14ac:dyDescent="0.3">
      <c r="A6" s="38" t="s">
        <v>97</v>
      </c>
      <c r="B6" s="19" t="s">
        <v>231</v>
      </c>
      <c r="C6" s="151"/>
      <c r="D6" s="116" t="s">
        <v>85</v>
      </c>
      <c r="E6" s="117">
        <f>IF(E4="","",IF(E4&gt;=Forside!$H$7,4,IF(E4&gt;=Forside!$H$8,3,IF(E4&gt;=Forside!$H$9,2,IF(E4&gt;0,1,"")))))</f>
        <v>4</v>
      </c>
      <c r="G6" s="38" t="s">
        <v>99</v>
      </c>
      <c r="H6" s="40">
        <v>10</v>
      </c>
      <c r="I6" s="5" t="s">
        <v>182</v>
      </c>
    </row>
    <row r="7" spans="1:14" ht="13" thickBot="1" x14ac:dyDescent="0.3">
      <c r="A7" s="38" t="s">
        <v>77</v>
      </c>
      <c r="B7" s="19" t="s">
        <v>232</v>
      </c>
      <c r="C7" s="151"/>
      <c r="D7" s="27"/>
      <c r="E7" s="28"/>
      <c r="G7" s="17" t="s">
        <v>66</v>
      </c>
      <c r="H7" s="42">
        <v>60</v>
      </c>
    </row>
    <row r="8" spans="1:14" ht="13" x14ac:dyDescent="0.3">
      <c r="A8" s="38" t="s">
        <v>91</v>
      </c>
      <c r="B8" s="14">
        <v>3.5</v>
      </c>
      <c r="C8" s="2"/>
      <c r="D8" s="118" t="s">
        <v>87</v>
      </c>
      <c r="E8" s="114"/>
      <c r="G8" s="38" t="s">
        <v>100</v>
      </c>
      <c r="H8" s="14">
        <v>65</v>
      </c>
    </row>
    <row r="9" spans="1:14" ht="13" thickBot="1" x14ac:dyDescent="0.3">
      <c r="A9" s="125" t="s">
        <v>6</v>
      </c>
      <c r="B9" s="20">
        <f>J55/1000000</f>
        <v>13.518750000000001</v>
      </c>
      <c r="C9" s="2"/>
      <c r="D9" s="38" t="s">
        <v>112</v>
      </c>
      <c r="E9" s="119">
        <f>K16</f>
        <v>0.5</v>
      </c>
      <c r="G9" s="38" t="s">
        <v>101</v>
      </c>
      <c r="H9" s="14">
        <v>75</v>
      </c>
    </row>
    <row r="10" spans="1:14" x14ac:dyDescent="0.25">
      <c r="C10" s="36"/>
      <c r="D10" s="38" t="s">
        <v>123</v>
      </c>
      <c r="E10" s="120">
        <f>K22</f>
        <v>0.30000000000000004</v>
      </c>
      <c r="G10" s="38" t="s">
        <v>102</v>
      </c>
      <c r="H10" s="14">
        <v>2</v>
      </c>
    </row>
    <row r="11" spans="1:14" ht="24.75" customHeight="1" thickBot="1" x14ac:dyDescent="0.3">
      <c r="C11" s="36"/>
      <c r="D11" s="116" t="s">
        <v>130</v>
      </c>
      <c r="E11" s="121">
        <f>K26</f>
        <v>1.4</v>
      </c>
    </row>
    <row r="12" spans="1:14" ht="13.5" thickBot="1" x14ac:dyDescent="0.3">
      <c r="A12" s="135" t="s">
        <v>17</v>
      </c>
      <c r="B12" s="105"/>
      <c r="C12" s="17"/>
      <c r="D12" s="17"/>
      <c r="E12"/>
    </row>
    <row r="13" spans="1:14" ht="13" x14ac:dyDescent="0.25">
      <c r="A13" s="261" t="s">
        <v>233</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v>
      </c>
    </row>
    <row r="17" spans="1:11" ht="25.5" thickBot="1" x14ac:dyDescent="0.3">
      <c r="A17" s="5"/>
      <c r="B17" s="5"/>
      <c r="C17" s="5"/>
      <c r="D17" s="5"/>
      <c r="G17" s="61" t="s">
        <v>137</v>
      </c>
      <c r="H17" s="102">
        <f>IF(H10="","",H10)</f>
        <v>2</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53</v>
      </c>
      <c r="B19" s="268"/>
      <c r="C19" s="112"/>
      <c r="D19" s="112"/>
      <c r="E19" s="39"/>
      <c r="G19" s="41" t="s">
        <v>66</v>
      </c>
      <c r="H19" s="104">
        <f>IF(H7="","",H7)</f>
        <v>60</v>
      </c>
      <c r="I19" s="85">
        <f>Forside!E7</f>
        <v>0.05</v>
      </c>
      <c r="J19" s="64">
        <f>IF(H19=A69,B69,IF(H19=A70,B70,IF(H19=A71,B71,IF(H19=A72,B72,IF(H19=A73,B73,IF(H19=A74,B74,IF(H19=A75,B75,IF(H19=A76,B76,IF(H19=A77,B77,IF(H19=A78,B78,""))))))))))</f>
        <v>2</v>
      </c>
      <c r="K19" s="65">
        <f t="shared" si="0"/>
        <v>0.1</v>
      </c>
    </row>
    <row r="20" spans="1:11" ht="15.75" customHeight="1" thickBot="1" x14ac:dyDescent="0.3">
      <c r="A20" s="269"/>
      <c r="B20" s="270"/>
      <c r="C20" s="112"/>
      <c r="D20" s="112"/>
      <c r="E20" s="39"/>
      <c r="G20" s="41" t="s">
        <v>89</v>
      </c>
      <c r="H20" s="104">
        <f>IF(H9="","",H9)</f>
        <v>75</v>
      </c>
      <c r="I20" s="85">
        <f>Forside!E8</f>
        <v>0.05</v>
      </c>
      <c r="J20" s="66">
        <f>IF(H20="","",IF(H19="","",IF(H20&lt;=H19,0,IF(H20&lt;H19*1.05,1,IF(H20&lt;H19*1.1,2,IF(H20&lt;H19*1.15,3,IF(H20&gt;=H19*1.15,4,"")))))))</f>
        <v>4</v>
      </c>
      <c r="K20" s="65">
        <f t="shared" si="0"/>
        <v>0.2</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1</v>
      </c>
      <c r="D26" s="156">
        <v>0</v>
      </c>
      <c r="E26" s="39"/>
      <c r="G26" s="57" t="s">
        <v>130</v>
      </c>
      <c r="H26" s="58"/>
      <c r="I26" s="59">
        <f>Forside!E14</f>
        <v>0.5</v>
      </c>
      <c r="J26" s="58"/>
      <c r="K26" s="60">
        <f>IF(J27="","",SUM(K27:K29))</f>
        <v>1.4</v>
      </c>
    </row>
    <row r="27" spans="1:11" ht="16.5" thickBot="1" x14ac:dyDescent="0.35">
      <c r="E27" s="39"/>
      <c r="G27" s="79" t="s">
        <v>141</v>
      </c>
      <c r="H27" s="80" t="s">
        <v>110</v>
      </c>
      <c r="I27" s="85">
        <f>Forside!E15</f>
        <v>0.25</v>
      </c>
      <c r="J27" s="127">
        <f>IF(H27=A113,B113,IF(H27=A114,B114,(IF(H27=A115,B115,(IF(H27=A116,B116,(IF(H27=A117,B117,""))))))))</f>
        <v>2</v>
      </c>
      <c r="K27" s="130">
        <f t="shared" si="0"/>
        <v>0.5</v>
      </c>
    </row>
    <row r="28" spans="1:11" ht="14.5" thickBot="1" x14ac:dyDescent="0.3">
      <c r="G28" s="41" t="s">
        <v>62</v>
      </c>
      <c r="H28" s="74" t="s">
        <v>31</v>
      </c>
      <c r="I28" s="85">
        <f>Forside!E16</f>
        <v>0.05</v>
      </c>
      <c r="J28" s="128">
        <f>IF(H28=A128,B128,IF(H28=A129,B129,(IF(H28=A130,B130,(IF(H28=A131,B131,(IF(H28=A132,B132,""))))))))</f>
        <v>2</v>
      </c>
      <c r="K28" s="131">
        <f t="shared" si="0"/>
        <v>0.1</v>
      </c>
    </row>
    <row r="29" spans="1:11" ht="38" thickBot="1" x14ac:dyDescent="0.3">
      <c r="G29" s="41" t="s">
        <v>136</v>
      </c>
      <c r="H29" s="81" t="s">
        <v>142</v>
      </c>
      <c r="I29" s="85">
        <f>Forside!E17</f>
        <v>0.2</v>
      </c>
      <c r="J29" s="129">
        <f>IF(H29=A120,B120,IF(H29=A121,B121,(IF(H29=A122,B122,(IF(H29=A123,B123,(IF(H29=A124,B124,""))))))))</f>
        <v>4</v>
      </c>
      <c r="K29" s="131">
        <f t="shared" si="0"/>
        <v>0.8</v>
      </c>
    </row>
    <row r="30" spans="1:11" ht="14.5" thickBot="1" x14ac:dyDescent="0.35">
      <c r="G30" s="57" t="s">
        <v>3</v>
      </c>
      <c r="H30" s="82"/>
      <c r="I30" s="83"/>
      <c r="J30" s="84"/>
      <c r="K30" s="132">
        <f>IF(Forside!E18="100%",IF(ISNUMBER(K16*K22*K26),K16+K22+K26,""),"Forkert vægtning")</f>
        <v>2.2000000000000002</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435</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232</v>
      </c>
      <c r="H46" s="141">
        <v>3500</v>
      </c>
      <c r="I46" s="141">
        <f>Enhedspriser!C3</f>
        <v>3750</v>
      </c>
      <c r="J46" s="145">
        <f>H46*I46</f>
        <v>13125000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393750</v>
      </c>
    </row>
    <row r="55" spans="1:17" ht="27.75" customHeight="1" thickBot="1" x14ac:dyDescent="0.35">
      <c r="G55" s="149" t="s">
        <v>175</v>
      </c>
      <c r="H55" s="150"/>
      <c r="I55" s="150"/>
      <c r="J55" s="146">
        <f>SUM(J46:J54)</f>
        <v>13518750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BBE9F2A3-537F-4F74-B9FB-646A1CC06A95}">
      <formula1>$A$113:$A$117</formula1>
    </dataValidation>
    <dataValidation type="list" allowBlank="1" showInputMessage="1" showErrorMessage="1" sqref="H25" xr:uid="{B444C506-AE48-45CA-A576-AD502FBDFAB2}">
      <formula1>$A$97:$A$102</formula1>
    </dataValidation>
    <dataValidation type="list" allowBlank="1" showInputMessage="1" showErrorMessage="1" sqref="H21" xr:uid="{6F991AF7-C8E8-4F04-99AF-C92FE7E1F30A}">
      <formula1>$A$106:$A$110</formula1>
    </dataValidation>
    <dataValidation type="list" allowBlank="1" showInputMessage="1" showErrorMessage="1" sqref="H28" xr:uid="{180DE63D-418C-41F1-A80C-C5A56BB51E7B}">
      <formula1>$A$128:$A$132</formula1>
    </dataValidation>
    <dataValidation type="list" allowBlank="1" showInputMessage="1" showErrorMessage="1" sqref="H24" xr:uid="{DAB591EE-2BDE-440D-867E-C010F553E576}">
      <formula1>$A$137:$A$141</formula1>
    </dataValidation>
    <dataValidation type="list" allowBlank="1" showInputMessage="1" showErrorMessage="1" sqref="H29" xr:uid="{D19FE2BF-E1A3-45CB-B24F-2F63E6768239}">
      <formula1>$A$120:$A$124</formula1>
    </dataValidation>
    <dataValidation type="list" allowBlank="1" showInputMessage="1" showErrorMessage="1" sqref="H7" xr:uid="{D3C4E4AB-5C21-4192-A421-D2445EE2E174}">
      <formula1>$A$69:$A$78</formula1>
    </dataValidation>
    <dataValidation type="list" allowBlank="1" showInputMessage="1" showErrorMessage="1" sqref="H23" xr:uid="{EA75B6A3-DEF7-4057-973E-C4ED0786A0D3}">
      <formula1>$A$88:$A$92</formula1>
    </dataValidation>
    <dataValidation type="list" allowBlank="1" showInputMessage="1" showErrorMessage="1" sqref="H5" xr:uid="{84429E88-B607-416F-9B4B-0A73716A1E95}">
      <formula1>$A$81:$A$85</formula1>
    </dataValidation>
  </dataValidations>
  <hyperlinks>
    <hyperlink ref="C5" r:id="rId1" xr:uid="{EBB17EE2-7324-45C9-A02E-6BFE1DA2B107}"/>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E85AC6-F0F0-4EC4-AF1C-D1A753AEADA5}">
  <sheetPr codeName="Sheet70"/>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13</v>
      </c>
      <c r="C4" s="151"/>
      <c r="D4" s="38" t="s">
        <v>2</v>
      </c>
      <c r="E4" s="115">
        <f>IF(K30&gt;0,K30,"")</f>
        <v>1.5500000000000003</v>
      </c>
      <c r="G4" s="133" t="s">
        <v>173</v>
      </c>
      <c r="H4" s="124"/>
      <c r="L4" s="139" t="s">
        <v>5</v>
      </c>
      <c r="M4" s="284" t="s">
        <v>466</v>
      </c>
      <c r="N4" s="260"/>
    </row>
    <row r="5" spans="1:14" ht="25" x14ac:dyDescent="0.25">
      <c r="A5" s="37" t="s">
        <v>96</v>
      </c>
      <c r="B5" s="18" t="s">
        <v>234</v>
      </c>
      <c r="C5" s="152" t="s">
        <v>235</v>
      </c>
      <c r="D5" s="38" t="s">
        <v>84</v>
      </c>
      <c r="E5" s="115">
        <f>IF(B9&gt;0,E4/B9,"")</f>
        <v>8.145355176898722E-2</v>
      </c>
      <c r="G5" s="122" t="s">
        <v>98</v>
      </c>
      <c r="H5" s="123" t="s">
        <v>148</v>
      </c>
    </row>
    <row r="6" spans="1:14" ht="13" thickBot="1" x14ac:dyDescent="0.3">
      <c r="A6" s="38" t="s">
        <v>97</v>
      </c>
      <c r="B6" s="19" t="s">
        <v>236</v>
      </c>
      <c r="C6" s="151"/>
      <c r="D6" s="116" t="s">
        <v>85</v>
      </c>
      <c r="E6" s="117">
        <f>IF(E4="","",IF(E4&gt;=Forside!$H$7,4,IF(E4&gt;=Forside!$H$8,3,IF(E4&gt;=Forside!$H$9,2,IF(E4&gt;0,1,"")))))</f>
        <v>3</v>
      </c>
      <c r="G6" s="38" t="s">
        <v>99</v>
      </c>
      <c r="H6" s="40">
        <v>10</v>
      </c>
      <c r="I6" s="1" t="s">
        <v>182</v>
      </c>
    </row>
    <row r="7" spans="1:14" ht="13" thickBot="1" x14ac:dyDescent="0.3">
      <c r="A7" s="38" t="s">
        <v>77</v>
      </c>
      <c r="B7" s="19" t="s">
        <v>237</v>
      </c>
      <c r="C7" s="151"/>
      <c r="D7" s="27"/>
      <c r="E7" s="28"/>
      <c r="G7" s="17" t="s">
        <v>66</v>
      </c>
      <c r="H7" s="42">
        <v>80</v>
      </c>
    </row>
    <row r="8" spans="1:14" ht="13" x14ac:dyDescent="0.3">
      <c r="A8" s="38" t="s">
        <v>91</v>
      </c>
      <c r="B8" s="14">
        <v>5.0999999999999996</v>
      </c>
      <c r="C8" s="2"/>
      <c r="D8" s="118" t="s">
        <v>87</v>
      </c>
      <c r="E8" s="114"/>
      <c r="G8" s="38" t="s">
        <v>100</v>
      </c>
      <c r="H8" s="14">
        <v>75</v>
      </c>
      <c r="I8" s="1" t="s">
        <v>182</v>
      </c>
    </row>
    <row r="9" spans="1:14" ht="13" thickBot="1" x14ac:dyDescent="0.3">
      <c r="A9" s="125" t="s">
        <v>6</v>
      </c>
      <c r="B9" s="20">
        <f>J55/1000000</f>
        <v>19.029250000000001</v>
      </c>
      <c r="C9" s="2"/>
      <c r="D9" s="38" t="s">
        <v>112</v>
      </c>
      <c r="E9" s="119">
        <f>K16</f>
        <v>0.4</v>
      </c>
      <c r="G9" s="38" t="s">
        <v>101</v>
      </c>
      <c r="H9" s="14">
        <v>80</v>
      </c>
      <c r="I9" s="1" t="s">
        <v>182</v>
      </c>
    </row>
    <row r="10" spans="1:14" x14ac:dyDescent="0.25">
      <c r="C10" s="36"/>
      <c r="D10" s="38" t="s">
        <v>123</v>
      </c>
      <c r="E10" s="120">
        <f>K22</f>
        <v>0.2</v>
      </c>
      <c r="G10" s="38" t="s">
        <v>102</v>
      </c>
      <c r="H10" s="14">
        <v>2</v>
      </c>
    </row>
    <row r="11" spans="1:14" ht="24.75" customHeight="1" thickBot="1" x14ac:dyDescent="0.3">
      <c r="C11" s="36"/>
      <c r="D11" s="116" t="s">
        <v>130</v>
      </c>
      <c r="E11" s="121">
        <f>K26</f>
        <v>0.95000000000000007</v>
      </c>
    </row>
    <row r="12" spans="1:14" ht="13.5" thickBot="1" x14ac:dyDescent="0.3">
      <c r="A12" s="135" t="s">
        <v>17</v>
      </c>
      <c r="B12" s="105"/>
      <c r="C12" s="17"/>
      <c r="D12" s="17"/>
      <c r="E12"/>
    </row>
    <row r="13" spans="1:14" ht="13" x14ac:dyDescent="0.25">
      <c r="A13" s="261" t="s">
        <v>238</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v>
      </c>
    </row>
    <row r="17" spans="1:11" ht="25.5" thickBot="1" x14ac:dyDescent="0.3">
      <c r="A17" s="5"/>
      <c r="B17" s="5"/>
      <c r="C17" s="5"/>
      <c r="D17" s="5"/>
      <c r="G17" s="61" t="s">
        <v>137</v>
      </c>
      <c r="H17" s="102">
        <f>IF(H10="","",H10)</f>
        <v>2</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239</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0.2</v>
      </c>
    </row>
    <row r="23" spans="1:11" ht="38" thickBot="1" x14ac:dyDescent="0.35">
      <c r="A23" s="271"/>
      <c r="B23" s="272"/>
      <c r="C23" s="112"/>
      <c r="D23" s="112"/>
      <c r="G23" s="70" t="s">
        <v>77</v>
      </c>
      <c r="H23" s="71" t="s">
        <v>49</v>
      </c>
      <c r="I23" s="85">
        <f>Forside!E11</f>
        <v>0.1</v>
      </c>
      <c r="J23" s="72">
        <f>IF(H23=A88,B88,IF(H23=A89,B89,(IF(H23=A90,B90,(IF(H23=A91,B91,(IF(H23=A92,B92,""))))))))</f>
        <v>1</v>
      </c>
      <c r="K23" s="73">
        <f t="shared" si="0"/>
        <v>0.1</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53</v>
      </c>
      <c r="I25" s="85">
        <f>Forside!E13</f>
        <v>0.05</v>
      </c>
      <c r="J25" s="77">
        <f>IF(H25=A102,B102,IF(H25=A101,B101,IF(H25=A100,B100,IF(H25=A99,B99,IF(H25=A98,B98,"")))))</f>
        <v>0</v>
      </c>
      <c r="K25" s="78">
        <f t="shared" si="0"/>
        <v>0</v>
      </c>
    </row>
    <row r="26" spans="1:11" ht="16.5" thickBot="1" x14ac:dyDescent="0.35">
      <c r="A26" s="154" t="s">
        <v>184</v>
      </c>
      <c r="B26" s="155" t="s">
        <v>184</v>
      </c>
      <c r="C26" s="155">
        <v>0</v>
      </c>
      <c r="D26" s="156">
        <v>0</v>
      </c>
      <c r="E26" s="39"/>
      <c r="G26" s="57" t="s">
        <v>130</v>
      </c>
      <c r="H26" s="58"/>
      <c r="I26" s="59">
        <f>Forside!E14</f>
        <v>0.5</v>
      </c>
      <c r="J26" s="58"/>
      <c r="K26" s="60">
        <f>IF(J27="","",SUM(K27:K29))</f>
        <v>0.95000000000000007</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1.5500000000000003</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435</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237</v>
      </c>
      <c r="H46" s="141">
        <v>4700</v>
      </c>
      <c r="I46" s="141">
        <f>Enhedspriser!C3</f>
        <v>3750</v>
      </c>
      <c r="J46" s="145">
        <f>H46*I46</f>
        <v>17625000</v>
      </c>
      <c r="L46" s="250" t="s">
        <v>172</v>
      </c>
      <c r="M46" s="251"/>
      <c r="N46" s="252"/>
    </row>
    <row r="47" spans="6:14" ht="12.75" customHeight="1" x14ac:dyDescent="0.3">
      <c r="G47" s="140" t="s">
        <v>55</v>
      </c>
      <c r="H47" s="141">
        <v>2</v>
      </c>
      <c r="I47" s="141">
        <f>Enhedspriser!C5</f>
        <v>300000</v>
      </c>
      <c r="J47" s="145">
        <f>H47*I47</f>
        <v>600000</v>
      </c>
      <c r="L47" s="250"/>
      <c r="M47" s="251"/>
      <c r="N47" s="252"/>
    </row>
    <row r="48" spans="6:14" ht="13" x14ac:dyDescent="0.3">
      <c r="G48" s="140" t="s">
        <v>167</v>
      </c>
      <c r="H48" s="141">
        <v>5</v>
      </c>
      <c r="I48" s="141">
        <f>Enhedspriser!C6</f>
        <v>50000</v>
      </c>
      <c r="J48" s="145">
        <f t="shared" ref="J48:J53" si="1">H48*I48</f>
        <v>250000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554250</v>
      </c>
    </row>
    <row r="55" spans="1:17" ht="27.75" customHeight="1" thickBot="1" x14ac:dyDescent="0.35">
      <c r="G55" s="149" t="s">
        <v>175</v>
      </c>
      <c r="H55" s="150"/>
      <c r="I55" s="150"/>
      <c r="J55" s="146">
        <f>SUM(J46:J54)</f>
        <v>19029250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EC548F47-D1A6-49CD-9C8B-A6C7A257A893}">
      <formula1>$A$113:$A$117</formula1>
    </dataValidation>
    <dataValidation type="list" allowBlank="1" showInputMessage="1" showErrorMessage="1" sqref="H25" xr:uid="{B978E5DC-2B05-4C43-B4D4-36C7961ED5C4}">
      <formula1>$A$97:$A$102</formula1>
    </dataValidation>
    <dataValidation type="list" allowBlank="1" showInputMessage="1" showErrorMessage="1" sqref="H21" xr:uid="{DD571515-BC92-441A-A70A-4FC939E96683}">
      <formula1>$A$106:$A$110</formula1>
    </dataValidation>
    <dataValidation type="list" allowBlank="1" showInputMessage="1" showErrorMessage="1" sqref="H28" xr:uid="{06204CD5-7464-47A8-8A45-F9AAF571C715}">
      <formula1>$A$128:$A$132</formula1>
    </dataValidation>
    <dataValidation type="list" allowBlank="1" showInputMessage="1" showErrorMessage="1" sqref="H24" xr:uid="{5ED7F78A-79DE-47DB-A826-9506270C3A2C}">
      <formula1>$A$137:$A$141</formula1>
    </dataValidation>
    <dataValidation type="list" allowBlank="1" showInputMessage="1" showErrorMessage="1" sqref="H29" xr:uid="{1B708683-8A46-4571-9EC3-E9223BDAC76D}">
      <formula1>$A$120:$A$124</formula1>
    </dataValidation>
    <dataValidation type="list" allowBlank="1" showInputMessage="1" showErrorMessage="1" sqref="H7" xr:uid="{0A4CCAAD-4B7C-44C0-A8B4-9238E12CE6B7}">
      <formula1>$A$69:$A$78</formula1>
    </dataValidation>
    <dataValidation type="list" allowBlank="1" showInputMessage="1" showErrorMessage="1" sqref="H23" xr:uid="{0305FD12-30D7-4860-9BC9-AB7C96F4188D}">
      <formula1>$A$88:$A$92</formula1>
    </dataValidation>
    <dataValidation type="list" allowBlank="1" showInputMessage="1" showErrorMessage="1" sqref="H5" xr:uid="{5646DED3-9F96-4187-8500-899A3B42A7C5}">
      <formula1>$A$81:$A$85</formula1>
    </dataValidation>
  </dataValidations>
  <pageMargins left="0.74803149606299213" right="0.74803149606299213" top="0.6692913385826772" bottom="0.59055118110236227" header="0.51181102362204722" footer="0.51181102362204722"/>
  <pageSetup paperSize="9" scale="70" fitToWidth="0" fitToHeight="0" orientation="portrait" r:id="rId1"/>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F00E4-F087-4617-8761-98815B2F5A58}">
  <sheetPr codeName="Sheet71"/>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14</v>
      </c>
      <c r="C4" s="151"/>
      <c r="D4" s="38" t="s">
        <v>2</v>
      </c>
      <c r="E4" s="115">
        <f>IF(K30&gt;0,K30,"")</f>
        <v>1.95</v>
      </c>
      <c r="G4" s="133" t="s">
        <v>173</v>
      </c>
      <c r="H4" s="124"/>
      <c r="L4" s="139" t="s">
        <v>5</v>
      </c>
      <c r="M4" s="284" t="s">
        <v>466</v>
      </c>
      <c r="N4" s="260"/>
    </row>
    <row r="5" spans="1:14" ht="25" x14ac:dyDescent="0.25">
      <c r="A5" s="37" t="s">
        <v>96</v>
      </c>
      <c r="B5" s="18" t="s">
        <v>240</v>
      </c>
      <c r="C5" s="164" t="s">
        <v>241</v>
      </c>
      <c r="D5" s="38" t="s">
        <v>84</v>
      </c>
      <c r="E5" s="115">
        <f>IF(B9&gt;0,E4/B9,"")</f>
        <v>0.12621359223300971</v>
      </c>
      <c r="G5" s="122" t="s">
        <v>98</v>
      </c>
      <c r="H5" s="123" t="s">
        <v>149</v>
      </c>
    </row>
    <row r="6" spans="1:14" ht="13" thickBot="1" x14ac:dyDescent="0.3">
      <c r="A6" s="38" t="s">
        <v>97</v>
      </c>
      <c r="B6" s="19" t="s">
        <v>242</v>
      </c>
      <c r="C6" s="151"/>
      <c r="D6" s="116" t="s">
        <v>85</v>
      </c>
      <c r="E6" s="117">
        <f>IF(E4="","",IF(E4&gt;=Forside!$H$7,4,IF(E4&gt;=Forside!$H$8,3,IF(E4&gt;=Forside!$H$9,2,IF(E4&gt;0,1,"")))))</f>
        <v>4</v>
      </c>
      <c r="G6" s="38" t="s">
        <v>99</v>
      </c>
      <c r="H6" s="40">
        <v>10</v>
      </c>
      <c r="I6" s="1" t="s">
        <v>182</v>
      </c>
    </row>
    <row r="7" spans="1:14" ht="13" thickBot="1" x14ac:dyDescent="0.3">
      <c r="A7" s="38" t="s">
        <v>77</v>
      </c>
      <c r="B7" s="19" t="s">
        <v>243</v>
      </c>
      <c r="C7" s="151"/>
      <c r="D7" s="27"/>
      <c r="E7" s="28"/>
      <c r="G7" s="17" t="s">
        <v>66</v>
      </c>
      <c r="H7" s="42">
        <v>80</v>
      </c>
    </row>
    <row r="8" spans="1:14" ht="13" x14ac:dyDescent="0.3">
      <c r="A8" s="38" t="s">
        <v>91</v>
      </c>
      <c r="B8" s="14">
        <v>4</v>
      </c>
      <c r="C8" s="2"/>
      <c r="D8" s="118" t="s">
        <v>87</v>
      </c>
      <c r="E8" s="114"/>
      <c r="G8" s="38" t="s">
        <v>100</v>
      </c>
      <c r="H8" s="14">
        <v>74</v>
      </c>
    </row>
    <row r="9" spans="1:14" ht="13" thickBot="1" x14ac:dyDescent="0.3">
      <c r="A9" s="125" t="s">
        <v>6</v>
      </c>
      <c r="B9" s="20">
        <f>J55/1000000</f>
        <v>15.45</v>
      </c>
      <c r="C9" s="2"/>
      <c r="D9" s="38" t="s">
        <v>112</v>
      </c>
      <c r="E9" s="119">
        <f>K16</f>
        <v>0.6</v>
      </c>
      <c r="G9" s="38" t="s">
        <v>101</v>
      </c>
      <c r="H9" s="14">
        <v>88</v>
      </c>
    </row>
    <row r="10" spans="1:14" x14ac:dyDescent="0.25">
      <c r="C10" s="36"/>
      <c r="D10" s="38" t="s">
        <v>123</v>
      </c>
      <c r="E10" s="120">
        <f>K22</f>
        <v>0.2</v>
      </c>
      <c r="G10" s="38" t="s">
        <v>102</v>
      </c>
      <c r="H10" s="14">
        <v>1</v>
      </c>
    </row>
    <row r="11" spans="1:14" ht="24.75" customHeight="1" thickBot="1" x14ac:dyDescent="0.3">
      <c r="C11" s="36"/>
      <c r="D11" s="116" t="s">
        <v>130</v>
      </c>
      <c r="E11" s="121">
        <f>K26</f>
        <v>1.1499999999999999</v>
      </c>
    </row>
    <row r="12" spans="1:14" ht="13.5" thickBot="1" x14ac:dyDescent="0.3">
      <c r="A12" s="135" t="s">
        <v>17</v>
      </c>
      <c r="B12" s="105"/>
      <c r="C12" s="17"/>
      <c r="D12" s="17"/>
      <c r="E12"/>
    </row>
    <row r="13" spans="1:14" ht="13" x14ac:dyDescent="0.25">
      <c r="A13" s="261" t="s">
        <v>244</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0.6</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53</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88</v>
      </c>
      <c r="I20" s="85">
        <f>Forside!E8</f>
        <v>0.05</v>
      </c>
      <c r="J20" s="66">
        <f>IF(H20="","",IF(H19="","",IF(H20&lt;=H19,0,IF(H20&lt;H19*1.05,1,IF(H20&lt;H19*1.1,2,IF(H20&lt;H19*1.15,3,IF(H20&gt;=H19*1.15,4,"")))))))</f>
        <v>3</v>
      </c>
      <c r="K20" s="65">
        <f t="shared" si="0"/>
        <v>0.15000000000000002</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0</v>
      </c>
      <c r="D26" s="156">
        <v>0</v>
      </c>
      <c r="E26" s="39"/>
      <c r="G26" s="57" t="s">
        <v>130</v>
      </c>
      <c r="H26" s="58"/>
      <c r="I26" s="59">
        <f>Forside!E14</f>
        <v>0.5</v>
      </c>
      <c r="J26" s="58"/>
      <c r="K26" s="60">
        <f>IF(J27="","",SUM(K27:K29))</f>
        <v>1.1499999999999999</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31</v>
      </c>
      <c r="I28" s="85">
        <f>Forside!E16</f>
        <v>0.05</v>
      </c>
      <c r="J28" s="128">
        <f>IF(H28=A128,B128,IF(H28=A129,B129,(IF(H28=A130,B130,(IF(H28=A131,B131,(IF(H28=A132,B132,""))))))))</f>
        <v>2</v>
      </c>
      <c r="K28" s="131">
        <f t="shared" si="0"/>
        <v>0.1</v>
      </c>
    </row>
    <row r="29" spans="1:11" ht="38" thickBot="1" x14ac:dyDescent="0.3">
      <c r="G29" s="41" t="s">
        <v>136</v>
      </c>
      <c r="H29" s="81" t="s">
        <v>142</v>
      </c>
      <c r="I29" s="85">
        <f>Forside!E17</f>
        <v>0.2</v>
      </c>
      <c r="J29" s="129">
        <f>IF(H29=A120,B120,IF(H29=A121,B121,(IF(H29=A122,B122,(IF(H29=A123,B123,(IF(H29=A124,B124,""))))))))</f>
        <v>4</v>
      </c>
      <c r="K29" s="131">
        <f t="shared" si="0"/>
        <v>0.8</v>
      </c>
    </row>
    <row r="30" spans="1:11" ht="14.5" thickBot="1" x14ac:dyDescent="0.35">
      <c r="G30" s="57" t="s">
        <v>3</v>
      </c>
      <c r="H30" s="82"/>
      <c r="I30" s="83"/>
      <c r="J30" s="84"/>
      <c r="K30" s="132">
        <f>IF(Forside!E18="100%",IF(ISNUMBER(K16*K22*K26),K16+K22+K26,""),"Forkert vægtning")</f>
        <v>1.95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435</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243</v>
      </c>
      <c r="H46" s="141">
        <v>4000</v>
      </c>
      <c r="I46" s="141">
        <f>Enhedspriser!C3</f>
        <v>3750</v>
      </c>
      <c r="J46" s="145">
        <f>H46*I46</f>
        <v>15000000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450000</v>
      </c>
    </row>
    <row r="55" spans="1:17" ht="27.75" customHeight="1" thickBot="1" x14ac:dyDescent="0.35">
      <c r="G55" s="149" t="s">
        <v>175</v>
      </c>
      <c r="H55" s="150"/>
      <c r="I55" s="150"/>
      <c r="J55" s="146">
        <f>SUM(J46:J54)</f>
        <v>15450000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C35A6463-394B-4C23-93DE-2524F9664625}">
      <formula1>$A$113:$A$117</formula1>
    </dataValidation>
    <dataValidation type="list" allowBlank="1" showInputMessage="1" showErrorMessage="1" sqref="H25" xr:uid="{31BF70A7-7152-4423-9214-41330CC95B9B}">
      <formula1>$A$97:$A$102</formula1>
    </dataValidation>
    <dataValidation type="list" allowBlank="1" showInputMessage="1" showErrorMessage="1" sqref="H21" xr:uid="{9C23C900-1217-445A-B2D3-918A07B49379}">
      <formula1>$A$106:$A$110</formula1>
    </dataValidation>
    <dataValidation type="list" allowBlank="1" showInputMessage="1" showErrorMessage="1" sqref="H28" xr:uid="{15BB9029-2632-4E09-B1D8-992D75115F8B}">
      <formula1>$A$128:$A$132</formula1>
    </dataValidation>
    <dataValidation type="list" allowBlank="1" showInputMessage="1" showErrorMessage="1" sqref="H24" xr:uid="{9351AE15-AFF7-4A50-8EC6-E52BEBDEFCBF}">
      <formula1>$A$137:$A$141</formula1>
    </dataValidation>
    <dataValidation type="list" allowBlank="1" showInputMessage="1" showErrorMessage="1" sqref="H29" xr:uid="{F4131637-8556-4BF5-B9DA-3C17F5FB1A13}">
      <formula1>$A$120:$A$124</formula1>
    </dataValidation>
    <dataValidation type="list" allowBlank="1" showInputMessage="1" showErrorMessage="1" sqref="H7" xr:uid="{444D0386-635A-404A-B4E4-E3934CE89681}">
      <formula1>$A$69:$A$78</formula1>
    </dataValidation>
    <dataValidation type="list" allowBlank="1" showInputMessage="1" showErrorMessage="1" sqref="H23" xr:uid="{B6B2B99F-E4F2-4984-BD31-714A70F5ECAE}">
      <formula1>$A$88:$A$92</formula1>
    </dataValidation>
    <dataValidation type="list" allowBlank="1" showInputMessage="1" showErrorMessage="1" sqref="H5" xr:uid="{1A440A65-5FB1-43FE-8A3A-44EEB849C8D3}">
      <formula1>$A$81:$A$85</formula1>
    </dataValidation>
  </dataValidations>
  <hyperlinks>
    <hyperlink ref="C5" r:id="rId1" xr:uid="{0AE88044-658D-487D-9D8E-6EE8C3268675}"/>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269B50-B8C1-4D3F-8DDB-48E65453E86E}">
  <sheetPr codeName="Sheet72"/>
  <dimension ref="A1:Q174"/>
  <sheetViews>
    <sheetView view="pageLayout" zoomScale="85" zoomScaleNormal="115" zoomScalePageLayoutView="85" workbookViewId="0">
      <selection activeCell="E6" sqref="E6"/>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15</v>
      </c>
      <c r="C4" s="151"/>
      <c r="D4" s="38" t="s">
        <v>2</v>
      </c>
      <c r="E4" s="115">
        <f>IF(K30&gt;0,K30,"")</f>
        <v>1.25</v>
      </c>
      <c r="G4" s="133" t="s">
        <v>173</v>
      </c>
      <c r="H4" s="124"/>
      <c r="L4" s="139" t="s">
        <v>5</v>
      </c>
      <c r="M4" s="284" t="s">
        <v>466</v>
      </c>
      <c r="N4" s="260"/>
    </row>
    <row r="5" spans="1:14" ht="25" x14ac:dyDescent="0.25">
      <c r="A5" s="37" t="s">
        <v>96</v>
      </c>
      <c r="B5" s="18" t="s">
        <v>245</v>
      </c>
      <c r="C5" s="164" t="s">
        <v>246</v>
      </c>
      <c r="D5" s="38" t="s">
        <v>84</v>
      </c>
      <c r="E5" s="115">
        <f>IF(B9&gt;0,E4/B9,"")</f>
        <v>0.63455803033187386</v>
      </c>
      <c r="G5" s="122" t="s">
        <v>98</v>
      </c>
      <c r="H5" s="123" t="s">
        <v>148</v>
      </c>
      <c r="I5" s="1" t="s">
        <v>182</v>
      </c>
    </row>
    <row r="6" spans="1:14" ht="13" thickBot="1" x14ac:dyDescent="0.3">
      <c r="A6" s="38" t="s">
        <v>97</v>
      </c>
      <c r="B6" s="19" t="s">
        <v>247</v>
      </c>
      <c r="C6" s="151"/>
      <c r="D6" s="116" t="s">
        <v>85</v>
      </c>
      <c r="E6" s="117">
        <f>IF(E4="","",IF(E4&gt;=Forside!$H$7,4,IF(E4&gt;=Forside!$H$8,3,IF(E4&gt;=Forside!$H$9,2,IF(E4&gt;0,1,"")))))</f>
        <v>2</v>
      </c>
      <c r="G6" s="38" t="s">
        <v>99</v>
      </c>
      <c r="H6" s="40">
        <v>10</v>
      </c>
      <c r="I6" s="1" t="s">
        <v>182</v>
      </c>
    </row>
    <row r="7" spans="1:14" ht="13" thickBot="1" x14ac:dyDescent="0.3">
      <c r="A7" s="38" t="s">
        <v>77</v>
      </c>
      <c r="B7" s="19" t="s">
        <v>248</v>
      </c>
      <c r="C7" s="151"/>
      <c r="D7" s="27"/>
      <c r="E7" s="28"/>
      <c r="G7" s="17" t="s">
        <v>66</v>
      </c>
      <c r="H7" s="42">
        <v>50</v>
      </c>
    </row>
    <row r="8" spans="1:14" ht="13" x14ac:dyDescent="0.3">
      <c r="A8" s="38" t="s">
        <v>91</v>
      </c>
      <c r="B8" s="14" t="s">
        <v>202</v>
      </c>
      <c r="C8" s="2"/>
      <c r="D8" s="118" t="s">
        <v>87</v>
      </c>
      <c r="E8" s="114"/>
      <c r="G8" s="38" t="s">
        <v>100</v>
      </c>
      <c r="H8" s="14">
        <v>40</v>
      </c>
    </row>
    <row r="9" spans="1:14" ht="13" thickBot="1" x14ac:dyDescent="0.3">
      <c r="A9" s="125" t="s">
        <v>6</v>
      </c>
      <c r="B9" s="20">
        <f>J55/1000000</f>
        <v>1.969875</v>
      </c>
      <c r="C9" s="2"/>
      <c r="D9" s="38" t="s">
        <v>112</v>
      </c>
      <c r="E9" s="119">
        <f>K16</f>
        <v>0.2</v>
      </c>
      <c r="G9" s="38" t="s">
        <v>101</v>
      </c>
      <c r="H9" s="14">
        <v>50</v>
      </c>
      <c r="I9" s="1" t="s">
        <v>182</v>
      </c>
    </row>
    <row r="10" spans="1:14" x14ac:dyDescent="0.25">
      <c r="C10" s="36"/>
      <c r="D10" s="38" t="s">
        <v>123</v>
      </c>
      <c r="E10" s="120">
        <f>K22</f>
        <v>0.2</v>
      </c>
      <c r="G10" s="38" t="s">
        <v>102</v>
      </c>
      <c r="H10" s="14">
        <v>0</v>
      </c>
    </row>
    <row r="11" spans="1:14" ht="24.75" customHeight="1" thickBot="1" x14ac:dyDescent="0.3">
      <c r="C11" s="36"/>
      <c r="D11" s="116" t="s">
        <v>130</v>
      </c>
      <c r="E11" s="121">
        <f>K26</f>
        <v>0.85000000000000009</v>
      </c>
    </row>
    <row r="12" spans="1:14" ht="13.5" thickBot="1" x14ac:dyDescent="0.3">
      <c r="A12" s="135" t="s">
        <v>17</v>
      </c>
      <c r="B12" s="105"/>
      <c r="C12" s="17"/>
      <c r="D12" s="17"/>
      <c r="E12"/>
    </row>
    <row r="13" spans="1:14" ht="13" x14ac:dyDescent="0.25">
      <c r="A13" s="261" t="s">
        <v>249</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0.2</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250</v>
      </c>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50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0.2</v>
      </c>
    </row>
    <row r="23" spans="1:11" ht="38" thickBot="1" x14ac:dyDescent="0.35">
      <c r="A23" s="271"/>
      <c r="B23" s="272"/>
      <c r="C23" s="112"/>
      <c r="D23" s="112"/>
      <c r="G23" s="70" t="s">
        <v>77</v>
      </c>
      <c r="H23" s="71" t="s">
        <v>49</v>
      </c>
      <c r="I23" s="85">
        <f>Forside!E11</f>
        <v>0.1</v>
      </c>
      <c r="J23" s="72">
        <f>IF(H23=A88,B88,IF(H23=A89,B89,(IF(H23=A90,B90,(IF(H23=A91,B91,(IF(H23=A92,B92,""))))))))</f>
        <v>1</v>
      </c>
      <c r="K23" s="73">
        <f t="shared" si="0"/>
        <v>0.1</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53</v>
      </c>
      <c r="B26" s="155"/>
      <c r="C26" s="155"/>
      <c r="D26" s="156"/>
      <c r="E26" s="39"/>
      <c r="G26" s="57" t="s">
        <v>130</v>
      </c>
      <c r="H26" s="58"/>
      <c r="I26" s="59">
        <f>Forside!E14</f>
        <v>0.5</v>
      </c>
      <c r="J26" s="58"/>
      <c r="K26" s="60">
        <f>IF(J27="","",SUM(K27:K29))</f>
        <v>0.85000000000000009</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53</v>
      </c>
      <c r="I28" s="85">
        <f>Forside!E16</f>
        <v>0.05</v>
      </c>
      <c r="J28" s="128">
        <f>IF(H28=A128,B128,IF(H28=A129,B129,(IF(H28=A130,B130,(IF(H28=A131,B131,(IF(H28=A132,B132,""))))))))</f>
        <v>0</v>
      </c>
      <c r="K28" s="131">
        <f t="shared" si="0"/>
        <v>0</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1.25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439</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350</v>
      </c>
      <c r="I46" s="141">
        <f>Enhedspriser!C3</f>
        <v>3750</v>
      </c>
      <c r="J46" s="145">
        <f>H46*I46</f>
        <v>1312500</v>
      </c>
      <c r="L46" s="250" t="s">
        <v>172</v>
      </c>
      <c r="M46" s="251"/>
      <c r="N46" s="252"/>
    </row>
    <row r="47" spans="6:14" ht="12.75" customHeight="1" x14ac:dyDescent="0.3">
      <c r="G47" s="140" t="s">
        <v>167</v>
      </c>
      <c r="H47" s="141">
        <v>2</v>
      </c>
      <c r="I47" s="141">
        <f>Enhedspriser!C6</f>
        <v>50000</v>
      </c>
      <c r="J47" s="145">
        <f>H47*I47</f>
        <v>100000</v>
      </c>
      <c r="L47" s="250"/>
      <c r="M47" s="251"/>
      <c r="N47" s="252"/>
    </row>
    <row r="48" spans="6:14" ht="13" x14ac:dyDescent="0.3">
      <c r="G48" s="140" t="s">
        <v>251</v>
      </c>
      <c r="H48" s="141">
        <v>1</v>
      </c>
      <c r="I48" s="141">
        <v>500000</v>
      </c>
      <c r="J48" s="145">
        <f t="shared" ref="J48:J53" si="1">H48*I48</f>
        <v>500000</v>
      </c>
      <c r="K48" s="5" t="s">
        <v>86</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57375</v>
      </c>
    </row>
    <row r="55" spans="1:17" ht="27.75" customHeight="1" thickBot="1" x14ac:dyDescent="0.35">
      <c r="G55" s="149" t="s">
        <v>175</v>
      </c>
      <c r="H55" s="150"/>
      <c r="I55" s="150"/>
      <c r="J55" s="146">
        <f>SUM(J46:J54)</f>
        <v>1969875</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715750F5-918E-4346-A305-0699919A4FFE}">
      <formula1>$A$113:$A$117</formula1>
    </dataValidation>
    <dataValidation type="list" allowBlank="1" showInputMessage="1" showErrorMessage="1" sqref="H25" xr:uid="{AF3C8558-BC4D-407D-9032-44263E38AADD}">
      <formula1>$A$97:$A$102</formula1>
    </dataValidation>
    <dataValidation type="list" allowBlank="1" showInputMessage="1" showErrorMessage="1" sqref="H21" xr:uid="{E9309ECF-64CC-421C-AF15-2A0DA4F4D98B}">
      <formula1>$A$106:$A$110</formula1>
    </dataValidation>
    <dataValidation type="list" allowBlank="1" showInputMessage="1" showErrorMessage="1" sqref="H28" xr:uid="{735C87EE-BECA-4353-8080-2D3F608F785E}">
      <formula1>$A$128:$A$132</formula1>
    </dataValidation>
    <dataValidation type="list" allowBlank="1" showInputMessage="1" showErrorMessage="1" sqref="H24" xr:uid="{744E1B36-2B20-40BD-A971-99BBF8D7112D}">
      <formula1>$A$137:$A$141</formula1>
    </dataValidation>
    <dataValidation type="list" allowBlank="1" showInputMessage="1" showErrorMessage="1" sqref="H29" xr:uid="{BD853462-3BB0-46D4-97D0-68AA9B3004F3}">
      <formula1>$A$120:$A$124</formula1>
    </dataValidation>
    <dataValidation type="list" allowBlank="1" showInputMessage="1" showErrorMessage="1" sqref="H7" xr:uid="{778C021D-AE93-4222-B226-32F9E92B7F13}">
      <formula1>$A$69:$A$78</formula1>
    </dataValidation>
    <dataValidation type="list" allowBlank="1" showInputMessage="1" showErrorMessage="1" sqref="H23" xr:uid="{5BC4426A-9F51-4AB2-92A0-FA956B3862D8}">
      <formula1>$A$88:$A$92</formula1>
    </dataValidation>
    <dataValidation type="list" allowBlank="1" showInputMessage="1" showErrorMessage="1" sqref="H5" xr:uid="{01AF162E-95AF-4156-BF04-90364AE8076A}">
      <formula1>$A$81:$A$85</formula1>
    </dataValidation>
  </dataValidations>
  <hyperlinks>
    <hyperlink ref="C5" r:id="rId1" xr:uid="{B5251860-656C-4455-8C2D-4F1D42E0B290}"/>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D933F4-662D-44DE-8882-C505083295E6}">
  <sheetPr codeName="Sheet73"/>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16</v>
      </c>
      <c r="C4" s="151"/>
      <c r="D4" s="38" t="s">
        <v>2</v>
      </c>
      <c r="E4" s="115">
        <f>IF(K30&gt;0,K30,"")</f>
        <v>1.4000000000000001</v>
      </c>
      <c r="G4" s="133" t="s">
        <v>173</v>
      </c>
      <c r="H4" s="124"/>
      <c r="L4" s="139" t="s">
        <v>5</v>
      </c>
      <c r="M4" s="284" t="s">
        <v>466</v>
      </c>
      <c r="N4" s="260"/>
    </row>
    <row r="5" spans="1:14" ht="25" x14ac:dyDescent="0.25">
      <c r="A5" s="37" t="s">
        <v>96</v>
      </c>
      <c r="B5" s="18" t="s">
        <v>252</v>
      </c>
      <c r="C5" s="164" t="s">
        <v>253</v>
      </c>
      <c r="D5" s="38" t="s">
        <v>84</v>
      </c>
      <c r="E5" s="115">
        <f>IF(B9&gt;0,E4/B9,"")</f>
        <v>0.21321149819150964</v>
      </c>
      <c r="G5" s="122" t="s">
        <v>98</v>
      </c>
      <c r="H5" s="123" t="s">
        <v>149</v>
      </c>
    </row>
    <row r="6" spans="1:14" ht="13" thickBot="1" x14ac:dyDescent="0.3">
      <c r="A6" s="38" t="s">
        <v>97</v>
      </c>
      <c r="B6" s="19" t="s">
        <v>254</v>
      </c>
      <c r="C6" s="151"/>
      <c r="D6" s="116" t="s">
        <v>85</v>
      </c>
      <c r="E6" s="117">
        <f>IF(E4="","",IF(E4&gt;=Forside!$H$7,4,IF(E4&gt;=Forside!$H$8,3,IF(E4&gt;=Forside!$H$9,2,IF(E4&gt;0,1,"")))))</f>
        <v>3</v>
      </c>
      <c r="G6" s="38" t="s">
        <v>99</v>
      </c>
      <c r="H6" s="40">
        <v>10</v>
      </c>
    </row>
    <row r="7" spans="1:14" ht="13" thickBot="1" x14ac:dyDescent="0.3">
      <c r="A7" s="38" t="s">
        <v>77</v>
      </c>
      <c r="B7" s="19" t="s">
        <v>192</v>
      </c>
      <c r="C7" s="151"/>
      <c r="D7" s="27"/>
      <c r="E7" s="28"/>
      <c r="G7" s="17" t="s">
        <v>66</v>
      </c>
      <c r="H7" s="42">
        <v>60</v>
      </c>
    </row>
    <row r="8" spans="1:14" ht="13" x14ac:dyDescent="0.3">
      <c r="A8" s="38" t="s">
        <v>91</v>
      </c>
      <c r="B8" s="14">
        <v>1.7</v>
      </c>
      <c r="C8" s="2"/>
      <c r="D8" s="118" t="s">
        <v>87</v>
      </c>
      <c r="E8" s="114"/>
      <c r="G8" s="38" t="s">
        <v>100</v>
      </c>
      <c r="H8" s="14">
        <v>55</v>
      </c>
      <c r="I8" s="1" t="s">
        <v>182</v>
      </c>
    </row>
    <row r="9" spans="1:14" ht="13" thickBot="1" x14ac:dyDescent="0.3">
      <c r="A9" s="125" t="s">
        <v>6</v>
      </c>
      <c r="B9" s="20">
        <f>J55/1000000</f>
        <v>6.5662500000000001</v>
      </c>
      <c r="C9" s="2"/>
      <c r="D9" s="38" t="s">
        <v>112</v>
      </c>
      <c r="E9" s="119">
        <f>K16</f>
        <v>0.4</v>
      </c>
      <c r="G9" s="38" t="s">
        <v>101</v>
      </c>
      <c r="H9" s="14">
        <v>65</v>
      </c>
      <c r="I9" s="1" t="s">
        <v>182</v>
      </c>
    </row>
    <row r="10" spans="1:14" x14ac:dyDescent="0.25">
      <c r="C10" s="36"/>
      <c r="D10" s="38" t="s">
        <v>123</v>
      </c>
      <c r="E10" s="120">
        <f>K22</f>
        <v>0.30000000000000004</v>
      </c>
      <c r="G10" s="38" t="s">
        <v>102</v>
      </c>
      <c r="H10" s="14">
        <v>0</v>
      </c>
    </row>
    <row r="11" spans="1:14" ht="24.75" customHeight="1" thickBot="1" x14ac:dyDescent="0.3">
      <c r="C11" s="36"/>
      <c r="D11" s="116" t="s">
        <v>130</v>
      </c>
      <c r="E11" s="121">
        <f>K26</f>
        <v>0.70000000000000007</v>
      </c>
    </row>
    <row r="12" spans="1:14" ht="13.5" thickBot="1" x14ac:dyDescent="0.3">
      <c r="A12" s="135" t="s">
        <v>17</v>
      </c>
      <c r="B12" s="105"/>
      <c r="C12" s="17"/>
      <c r="D12" s="17"/>
      <c r="E12"/>
    </row>
    <row r="13" spans="1:14" ht="13" x14ac:dyDescent="0.25">
      <c r="A13" s="261" t="s">
        <v>255</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53</v>
      </c>
      <c r="B19" s="268"/>
      <c r="C19" s="112"/>
      <c r="D19" s="112"/>
      <c r="E19" s="39"/>
      <c r="G19" s="41" t="s">
        <v>66</v>
      </c>
      <c r="H19" s="104">
        <f>IF(H7="","",H7)</f>
        <v>60</v>
      </c>
      <c r="I19" s="85">
        <f>Forside!E7</f>
        <v>0.05</v>
      </c>
      <c r="J19" s="64">
        <f>IF(H19=A69,B69,IF(H19=A70,B70,IF(H19=A71,B71,IF(H19=A72,B72,IF(H19=A73,B73,IF(H19=A74,B74,IF(H19=A75,B75,IF(H19=A76,B76,IF(H19=A77,B77,IF(H19=A78,B78,""))))))))))</f>
        <v>2</v>
      </c>
      <c r="K19" s="65">
        <f t="shared" si="0"/>
        <v>0.1</v>
      </c>
    </row>
    <row r="20" spans="1:11" ht="15.75" customHeight="1" thickBot="1" x14ac:dyDescent="0.3">
      <c r="A20" s="269"/>
      <c r="B20" s="270"/>
      <c r="C20" s="112"/>
      <c r="D20" s="112"/>
      <c r="E20" s="39"/>
      <c r="G20" s="41" t="s">
        <v>89</v>
      </c>
      <c r="H20" s="104">
        <f>IF(H9="","",H9)</f>
        <v>65</v>
      </c>
      <c r="I20" s="85">
        <f>Forside!E8</f>
        <v>0.05</v>
      </c>
      <c r="J20" s="66">
        <f>IF(H20="","",IF(H19="","",IF(H20&lt;=H19,0,IF(H20&lt;H19*1.05,1,IF(H20&lt;H19*1.1,2,IF(H20&lt;H19*1.15,3,IF(H20&gt;=H19*1.15,4,"")))))))</f>
        <v>2</v>
      </c>
      <c r="K20" s="65">
        <f t="shared" si="0"/>
        <v>0.1</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0</v>
      </c>
      <c r="D26" s="156">
        <v>0</v>
      </c>
      <c r="E26" s="39"/>
      <c r="G26" s="57" t="s">
        <v>130</v>
      </c>
      <c r="H26" s="58"/>
      <c r="I26" s="59">
        <f>Forside!E14</f>
        <v>0.5</v>
      </c>
      <c r="J26" s="58"/>
      <c r="K26" s="60">
        <f>IF(J27="","",SUM(K27:K29))</f>
        <v>0.70000000000000007</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1.4000000000000001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440</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1700</v>
      </c>
      <c r="I46" s="141">
        <f>Enhedspriser!C3</f>
        <v>3750</v>
      </c>
      <c r="J46" s="145">
        <f>H46*I46</f>
        <v>6375000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191250</v>
      </c>
    </row>
    <row r="55" spans="1:17" ht="27.75" customHeight="1" thickBot="1" x14ac:dyDescent="0.35">
      <c r="G55" s="149" t="s">
        <v>175</v>
      </c>
      <c r="H55" s="150"/>
      <c r="I55" s="150"/>
      <c r="J55" s="146">
        <f>SUM(J46:J54)</f>
        <v>6566250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98C1F2CC-95A6-41F2-8539-802688B6029A}">
      <formula1>$A$113:$A$117</formula1>
    </dataValidation>
    <dataValidation type="list" allowBlank="1" showInputMessage="1" showErrorMessage="1" sqref="H25" xr:uid="{EB73B579-D833-43B0-B513-9A9B27D622DC}">
      <formula1>$A$97:$A$102</formula1>
    </dataValidation>
    <dataValidation type="list" allowBlank="1" showInputMessage="1" showErrorMessage="1" sqref="H21" xr:uid="{F1F11405-B71A-49BD-9261-3896FB470381}">
      <formula1>$A$106:$A$110</formula1>
    </dataValidation>
    <dataValidation type="list" allowBlank="1" showInputMessage="1" showErrorMessage="1" sqref="H28" xr:uid="{BC831367-16AE-45EB-B307-E473C8695865}">
      <formula1>$A$128:$A$132</formula1>
    </dataValidation>
    <dataValidation type="list" allowBlank="1" showInputMessage="1" showErrorMessage="1" sqref="H24" xr:uid="{5DBC123B-DE51-4D42-90A7-9A44CBB5DEBD}">
      <formula1>$A$137:$A$141</formula1>
    </dataValidation>
    <dataValidation type="list" allowBlank="1" showInputMessage="1" showErrorMessage="1" sqref="H29" xr:uid="{D35E32AF-D59F-4C6B-BA10-6B567ADDA00E}">
      <formula1>$A$120:$A$124</formula1>
    </dataValidation>
    <dataValidation type="list" allowBlank="1" showInputMessage="1" showErrorMessage="1" sqref="H7" xr:uid="{953F76FB-1AD9-4215-9ACE-9784916DB0C7}">
      <formula1>$A$69:$A$78</formula1>
    </dataValidation>
    <dataValidation type="list" allowBlank="1" showInputMessage="1" showErrorMessage="1" sqref="H23" xr:uid="{64B558EE-A4F9-47B3-B14D-C5A4DBACADF6}">
      <formula1>$A$88:$A$92</formula1>
    </dataValidation>
    <dataValidation type="list" allowBlank="1" showInputMessage="1" showErrorMessage="1" sqref="H5" xr:uid="{8DFEC901-537D-440D-8DED-E2EEC1040B32}">
      <formula1>$A$81:$A$85</formula1>
    </dataValidation>
  </dataValidations>
  <hyperlinks>
    <hyperlink ref="C5" r:id="rId1" xr:uid="{2C1B90F0-3512-442F-AFF4-852066E4B660}"/>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BB646-1AB2-42F0-8591-7744874F1CAA}">
  <sheetPr codeName="Sheet74"/>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17</v>
      </c>
      <c r="C4" s="151"/>
      <c r="D4" s="38" t="s">
        <v>2</v>
      </c>
      <c r="E4" s="115">
        <f>IF(K30&gt;0,K30,"")</f>
        <v>1.1000000000000001</v>
      </c>
      <c r="G4" s="133" t="s">
        <v>173</v>
      </c>
      <c r="H4" s="124"/>
      <c r="L4" s="139" t="s">
        <v>5</v>
      </c>
      <c r="M4" s="284" t="s">
        <v>466</v>
      </c>
      <c r="N4" s="260"/>
    </row>
    <row r="5" spans="1:14" ht="25" x14ac:dyDescent="0.25">
      <c r="A5" s="37" t="s">
        <v>96</v>
      </c>
      <c r="B5" s="18" t="s">
        <v>256</v>
      </c>
      <c r="C5" s="164" t="s">
        <v>257</v>
      </c>
      <c r="D5" s="38" t="s">
        <v>84</v>
      </c>
      <c r="E5" s="115">
        <f>IF(B9&gt;0,E4/B9,"")</f>
        <v>0.15821646889608057</v>
      </c>
      <c r="G5" s="122" t="s">
        <v>98</v>
      </c>
      <c r="H5" s="123" t="s">
        <v>148</v>
      </c>
      <c r="I5" s="1" t="s">
        <v>182</v>
      </c>
    </row>
    <row r="6" spans="1:14" ht="13" thickBot="1" x14ac:dyDescent="0.3">
      <c r="A6" s="38" t="s">
        <v>97</v>
      </c>
      <c r="B6" s="19" t="s">
        <v>258</v>
      </c>
      <c r="C6" s="151"/>
      <c r="D6" s="116" t="s">
        <v>85</v>
      </c>
      <c r="E6" s="117">
        <f>IF(E4="","",IF(E4&gt;=Forside!$H$7,4,IF(E4&gt;=Forside!$H$8,3,IF(E4&gt;=Forside!$H$9,2,IF(E4&gt;0,1,"")))))</f>
        <v>2</v>
      </c>
      <c r="G6" s="38" t="s">
        <v>99</v>
      </c>
      <c r="H6" s="40">
        <v>10</v>
      </c>
      <c r="I6" s="1" t="s">
        <v>182</v>
      </c>
    </row>
    <row r="7" spans="1:14" ht="13" thickBot="1" x14ac:dyDescent="0.3">
      <c r="A7" s="38" t="s">
        <v>77</v>
      </c>
      <c r="B7" s="19" t="s">
        <v>192</v>
      </c>
      <c r="C7" s="151"/>
      <c r="D7" s="27"/>
      <c r="E7" s="28"/>
      <c r="G7" s="17" t="s">
        <v>66</v>
      </c>
      <c r="H7" s="42">
        <v>80</v>
      </c>
    </row>
    <row r="8" spans="1:14" ht="13" x14ac:dyDescent="0.3">
      <c r="A8" s="38" t="s">
        <v>91</v>
      </c>
      <c r="B8" s="14">
        <v>1.8</v>
      </c>
      <c r="C8" s="2"/>
      <c r="D8" s="118" t="s">
        <v>87</v>
      </c>
      <c r="E8" s="114"/>
      <c r="G8" s="38" t="s">
        <v>100</v>
      </c>
      <c r="H8" s="14">
        <v>72</v>
      </c>
      <c r="I8" s="1" t="s">
        <v>182</v>
      </c>
    </row>
    <row r="9" spans="1:14" ht="13" thickBot="1" x14ac:dyDescent="0.3">
      <c r="A9" s="125" t="s">
        <v>6</v>
      </c>
      <c r="B9" s="20">
        <f>J55/1000000</f>
        <v>6.9524999999999997</v>
      </c>
      <c r="C9" s="2"/>
      <c r="D9" s="38" t="s">
        <v>112</v>
      </c>
      <c r="E9" s="119">
        <f>K16</f>
        <v>0.4</v>
      </c>
      <c r="G9" s="38" t="s">
        <v>101</v>
      </c>
      <c r="H9" s="14">
        <v>80</v>
      </c>
      <c r="I9" s="1" t="s">
        <v>182</v>
      </c>
    </row>
    <row r="10" spans="1:14" x14ac:dyDescent="0.25">
      <c r="C10" s="36"/>
      <c r="D10" s="38" t="s">
        <v>123</v>
      </c>
      <c r="E10" s="120">
        <f>K22</f>
        <v>0.2</v>
      </c>
      <c r="G10" s="38" t="s">
        <v>102</v>
      </c>
      <c r="H10" s="14">
        <v>1</v>
      </c>
    </row>
    <row r="11" spans="1:14" ht="24.75" customHeight="1" thickBot="1" x14ac:dyDescent="0.3">
      <c r="C11" s="36"/>
      <c r="D11" s="116" t="s">
        <v>130</v>
      </c>
      <c r="E11" s="121">
        <f>K26</f>
        <v>0.5</v>
      </c>
    </row>
    <row r="12" spans="1:14" ht="13.5" thickBot="1" x14ac:dyDescent="0.3">
      <c r="A12" s="135" t="s">
        <v>17</v>
      </c>
      <c r="B12" s="105"/>
      <c r="C12" s="17"/>
      <c r="D12" s="17"/>
      <c r="E12"/>
    </row>
    <row r="13" spans="1:14" ht="13" x14ac:dyDescent="0.25">
      <c r="A13" s="261" t="s">
        <v>233</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53</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0</v>
      </c>
      <c r="D26" s="156">
        <v>0</v>
      </c>
      <c r="E26" s="39"/>
      <c r="G26" s="57" t="s">
        <v>130</v>
      </c>
      <c r="H26" s="58"/>
      <c r="I26" s="59">
        <f>Forside!E14</f>
        <v>0.5</v>
      </c>
      <c r="J26" s="58"/>
      <c r="K26" s="60">
        <f>IF(J27="","",SUM(K27:K29))</f>
        <v>0.5</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155</v>
      </c>
      <c r="I29" s="85">
        <f>Forside!E17</f>
        <v>0.2</v>
      </c>
      <c r="J29" s="129">
        <f>IF(H29=A120,B120,IF(H29=A121,B121,(IF(H29=A122,B122,(IF(H29=A123,B123,(IF(H29=A124,B124,""))))))))</f>
        <v>2</v>
      </c>
      <c r="K29" s="131">
        <f t="shared" si="0"/>
        <v>0.4</v>
      </c>
    </row>
    <row r="30" spans="1:11" ht="14.5" thickBot="1" x14ac:dyDescent="0.35">
      <c r="G30" s="57" t="s">
        <v>3</v>
      </c>
      <c r="H30" s="82"/>
      <c r="I30" s="83"/>
      <c r="J30" s="84"/>
      <c r="K30" s="132">
        <f>IF(Forside!E18="100%",IF(ISNUMBER(K16*K22*K26),K16+K22+K26,""),"Forkert vægtning")</f>
        <v>1.1000000000000001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441</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1800</v>
      </c>
      <c r="I46" s="141">
        <f>Enhedspriser!C3</f>
        <v>3750</v>
      </c>
      <c r="J46" s="145">
        <f>H46*I46</f>
        <v>6750000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202500</v>
      </c>
    </row>
    <row r="55" spans="1:17" ht="27.75" customHeight="1" thickBot="1" x14ac:dyDescent="0.35">
      <c r="G55" s="149" t="s">
        <v>175</v>
      </c>
      <c r="H55" s="150"/>
      <c r="I55" s="150"/>
      <c r="J55" s="146">
        <f>SUM(J46:J54)</f>
        <v>6952500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32B2D160-4C33-4872-AB22-059629D6234C}">
      <formula1>$A$113:$A$117</formula1>
    </dataValidation>
    <dataValidation type="list" allowBlank="1" showInputMessage="1" showErrorMessage="1" sqref="H25" xr:uid="{61E2BF24-537E-4886-B19E-B9927D27490D}">
      <formula1>$A$97:$A$102</formula1>
    </dataValidation>
    <dataValidation type="list" allowBlank="1" showInputMessage="1" showErrorMessage="1" sqref="H21" xr:uid="{F417EEA8-0724-4CB2-BE98-22BC75AF4F9F}">
      <formula1>$A$106:$A$110</formula1>
    </dataValidation>
    <dataValidation type="list" allowBlank="1" showInputMessage="1" showErrorMessage="1" sqref="H28" xr:uid="{9758ABBB-DF2C-47CA-B9BA-021815DA0DEB}">
      <formula1>$A$128:$A$132</formula1>
    </dataValidation>
    <dataValidation type="list" allowBlank="1" showInputMessage="1" showErrorMessage="1" sqref="H24" xr:uid="{65613DB4-0F83-419B-BEEA-EEE680FF28B7}">
      <formula1>$A$137:$A$141</formula1>
    </dataValidation>
    <dataValidation type="list" allowBlank="1" showInputMessage="1" showErrorMessage="1" sqref="H29" xr:uid="{64D165DC-3CB6-458B-8477-7D0036DE3CA0}">
      <formula1>$A$120:$A$124</formula1>
    </dataValidation>
    <dataValidation type="list" allowBlank="1" showInputMessage="1" showErrorMessage="1" sqref="H7" xr:uid="{98F34E05-FFE1-4CAD-96C4-A837A074DF2B}">
      <formula1>$A$69:$A$78</formula1>
    </dataValidation>
    <dataValidation type="list" allowBlank="1" showInputMessage="1" showErrorMessage="1" sqref="H23" xr:uid="{377F790C-8D65-4EF3-8297-CF6611E4218D}">
      <formula1>$A$88:$A$92</formula1>
    </dataValidation>
    <dataValidation type="list" allowBlank="1" showInputMessage="1" showErrorMessage="1" sqref="H5" xr:uid="{19EAB307-885D-4907-8C30-3325D01C40B6}">
      <formula1>$A$81:$A$85</formula1>
    </dataValidation>
  </dataValidations>
  <hyperlinks>
    <hyperlink ref="C5" r:id="rId1" xr:uid="{0F3C7EFB-2D29-4834-80A6-D885AEDA6C13}"/>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9F6150-2D95-46CE-8A20-EA16FE9D8491}">
  <sheetPr codeName="Sheet59"/>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c r="C4" s="151"/>
      <c r="D4" s="38" t="s">
        <v>2</v>
      </c>
      <c r="E4" s="115" t="str">
        <f>IF(K30&gt;0,K30,"")</f>
        <v/>
      </c>
      <c r="G4" s="133" t="s">
        <v>173</v>
      </c>
      <c r="H4" s="124"/>
      <c r="L4" s="139" t="s">
        <v>5</v>
      </c>
      <c r="M4" s="259"/>
      <c r="N4" s="260"/>
    </row>
    <row r="5" spans="1:14" x14ac:dyDescent="0.25">
      <c r="A5" s="37" t="s">
        <v>96</v>
      </c>
      <c r="B5" s="18"/>
      <c r="C5" s="152"/>
      <c r="D5" s="38" t="s">
        <v>84</v>
      </c>
      <c r="E5" s="115" t="str">
        <f>IF(B9&gt;0,E4/B9,"")</f>
        <v/>
      </c>
      <c r="G5" s="122" t="s">
        <v>98</v>
      </c>
      <c r="H5" s="123"/>
    </row>
    <row r="6" spans="1:14" ht="13" thickBot="1" x14ac:dyDescent="0.3">
      <c r="A6" s="38" t="s">
        <v>97</v>
      </c>
      <c r="B6" s="19"/>
      <c r="C6" s="151"/>
      <c r="D6" s="116" t="s">
        <v>85</v>
      </c>
      <c r="E6" s="117" t="str">
        <f>IF(E4="","",IF(E4&gt;=Forside!$H$7,4,IF(E4&gt;=Forside!$H$8,3,IF(E4&gt;=Forside!$H$9,2,IF(E4&gt;0,1,"")))))</f>
        <v/>
      </c>
      <c r="G6" s="38" t="s">
        <v>99</v>
      </c>
      <c r="H6" s="40"/>
    </row>
    <row r="7" spans="1:14" ht="13" thickBot="1" x14ac:dyDescent="0.3">
      <c r="A7" s="38" t="s">
        <v>77</v>
      </c>
      <c r="B7" s="19"/>
      <c r="C7" s="151"/>
      <c r="D7" s="27"/>
      <c r="E7" s="28"/>
      <c r="G7" s="17" t="s">
        <v>66</v>
      </c>
      <c r="H7" s="42"/>
    </row>
    <row r="8" spans="1:14" ht="13" x14ac:dyDescent="0.3">
      <c r="A8" s="38" t="s">
        <v>91</v>
      </c>
      <c r="B8" s="14"/>
      <c r="C8" s="2"/>
      <c r="D8" s="118" t="s">
        <v>87</v>
      </c>
      <c r="E8" s="114"/>
      <c r="G8" s="38" t="s">
        <v>100</v>
      </c>
      <c r="H8" s="14"/>
    </row>
    <row r="9" spans="1:14" ht="13" thickBot="1" x14ac:dyDescent="0.3">
      <c r="A9" s="125" t="s">
        <v>6</v>
      </c>
      <c r="B9" s="20">
        <f>J55/1000000</f>
        <v>0</v>
      </c>
      <c r="C9" s="2"/>
      <c r="D9" s="38" t="s">
        <v>112</v>
      </c>
      <c r="E9" s="119" t="str">
        <f>K16</f>
        <v/>
      </c>
      <c r="G9" s="38" t="s">
        <v>101</v>
      </c>
      <c r="H9" s="14"/>
    </row>
    <row r="10" spans="1:14" x14ac:dyDescent="0.25">
      <c r="C10" s="36"/>
      <c r="D10" s="38" t="s">
        <v>123</v>
      </c>
      <c r="E10" s="120" t="str">
        <f>K22</f>
        <v/>
      </c>
      <c r="G10" s="38" t="s">
        <v>102</v>
      </c>
      <c r="H10" s="14"/>
    </row>
    <row r="11" spans="1:14" ht="24.75" customHeight="1" thickBot="1" x14ac:dyDescent="0.3">
      <c r="C11" s="36"/>
      <c r="D11" s="116" t="s">
        <v>130</v>
      </c>
      <c r="E11" s="121" t="str">
        <f>K26</f>
        <v/>
      </c>
    </row>
    <row r="12" spans="1:14" ht="13.5" thickBot="1" x14ac:dyDescent="0.3">
      <c r="A12" s="135" t="s">
        <v>17</v>
      </c>
      <c r="B12" s="105"/>
      <c r="C12" s="17"/>
      <c r="D12" s="17"/>
      <c r="E12"/>
    </row>
    <row r="13" spans="1:14" ht="13" x14ac:dyDescent="0.25">
      <c r="A13" s="261"/>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t="str">
        <f>IF(J17="","",SUM(K17:K21))</f>
        <v/>
      </c>
    </row>
    <row r="17" spans="1:11" ht="25.5" thickBot="1" x14ac:dyDescent="0.3">
      <c r="A17" s="5"/>
      <c r="B17" s="5"/>
      <c r="C17" s="5"/>
      <c r="D17" s="5"/>
      <c r="G17" s="61" t="s">
        <v>137</v>
      </c>
      <c r="H17" s="102" t="str">
        <f>IF(H10="","",H10)</f>
        <v/>
      </c>
      <c r="I17" s="85">
        <f>Forside!E5</f>
        <v>0.05</v>
      </c>
      <c r="J17" s="62" t="str">
        <f>IF(H17="","",IF(H17=0,0,IF(H17&lt;3,1,IF(H17&lt;6,2,IF(H17&lt;10,3,IF(H17&gt;=10,4,""))))))</f>
        <v/>
      </c>
      <c r="K17" s="63" t="str">
        <f t="shared" ref="K17:K29" si="0">IF(J17="","",J17*I17)</f>
        <v/>
      </c>
    </row>
    <row r="18" spans="1:11" ht="12.75" customHeight="1" thickBot="1" x14ac:dyDescent="0.3">
      <c r="A18" s="136" t="s">
        <v>90</v>
      </c>
      <c r="B18" s="52"/>
      <c r="C18" s="109"/>
      <c r="D18" s="109"/>
      <c r="G18" s="41" t="s">
        <v>138</v>
      </c>
      <c r="H18" s="103" t="str">
        <f>IF(H5="","",H5)</f>
        <v/>
      </c>
      <c r="I18" s="85">
        <f>Forside!E6</f>
        <v>0.05</v>
      </c>
      <c r="J18" s="64" t="str">
        <f>IF(H18="","",IF(H18="&lt;250",0,IF(H18="250-999",1,IF(H18="1000-2499",2,IF(H18="2500-4999",3,IF(H18="&gt;=5000",4,""))))))</f>
        <v/>
      </c>
      <c r="K18" s="65" t="str">
        <f t="shared" si="0"/>
        <v/>
      </c>
    </row>
    <row r="19" spans="1:11" ht="15.75" customHeight="1" thickBot="1" x14ac:dyDescent="0.3">
      <c r="A19" s="267"/>
      <c r="B19" s="268"/>
      <c r="C19" s="112"/>
      <c r="D19" s="112"/>
      <c r="E19" s="39"/>
      <c r="G19" s="41" t="s">
        <v>66</v>
      </c>
      <c r="H19" s="104" t="str">
        <f>IF(H7="","",H7)</f>
        <v/>
      </c>
      <c r="I19" s="85">
        <f>Forside!E7</f>
        <v>0.05</v>
      </c>
      <c r="J19" s="64" t="str">
        <f>IF(H19=A69,B69,IF(H19=A70,B70,IF(H19=A71,B71,IF(H19=A72,B72,IF(H19=A73,B73,IF(H19=A74,B74,IF(H19=A75,B75,IF(H19=A76,B76,IF(H19=A77,B77,IF(H19=A78,B78,""))))))))))</f>
        <v/>
      </c>
      <c r="K19" s="65" t="str">
        <f t="shared" si="0"/>
        <v/>
      </c>
    </row>
    <row r="20" spans="1:11" ht="15.75" customHeight="1" thickBot="1" x14ac:dyDescent="0.3">
      <c r="A20" s="269"/>
      <c r="B20" s="270"/>
      <c r="C20" s="112"/>
      <c r="D20" s="112"/>
      <c r="E20" s="39"/>
      <c r="G20" s="41" t="s">
        <v>89</v>
      </c>
      <c r="H20" s="104" t="str">
        <f>IF(H9="","",H9)</f>
        <v/>
      </c>
      <c r="I20" s="85">
        <f>Forside!E8</f>
        <v>0.05</v>
      </c>
      <c r="J20" s="66" t="str">
        <f>IF(H20="","",IF(H19="","",IF(H20&lt;=H19,0,IF(H20&lt;H19*1.05,1,IF(H20&lt;H19*1.1,2,IF(H20&lt;H19*1.15,3,IF(H20&gt;=H19*1.15,4,"")))))))</f>
        <v/>
      </c>
      <c r="K20" s="65" t="str">
        <f t="shared" si="0"/>
        <v/>
      </c>
    </row>
    <row r="21" spans="1:11" ht="16.5" thickBot="1" x14ac:dyDescent="0.3">
      <c r="A21" s="269"/>
      <c r="B21" s="270"/>
      <c r="C21" s="112"/>
      <c r="D21" s="112"/>
      <c r="E21" s="39"/>
      <c r="G21" s="101" t="s">
        <v>122</v>
      </c>
      <c r="H21" s="67"/>
      <c r="I21" s="85">
        <f>Forside!E9</f>
        <v>0.05</v>
      </c>
      <c r="J21" s="64" t="str">
        <f>IF(H21=A106,B106,IF(H21=A107,B107,(IF(H21=A108,B108,(IF(H21=A109,B109,(IF(H21=A110,B110,""))))))))</f>
        <v/>
      </c>
      <c r="K21" s="65" t="str">
        <f t="shared" si="0"/>
        <v/>
      </c>
    </row>
    <row r="22" spans="1:11" ht="16.5" thickBot="1" x14ac:dyDescent="0.35">
      <c r="A22" s="269"/>
      <c r="B22" s="270"/>
      <c r="C22" s="112"/>
      <c r="D22" s="112"/>
      <c r="E22" s="39"/>
      <c r="G22" s="57" t="s">
        <v>123</v>
      </c>
      <c r="H22" s="68"/>
      <c r="I22" s="59">
        <f>Forside!E10</f>
        <v>0.25</v>
      </c>
      <c r="J22" s="68"/>
      <c r="K22" s="69" t="str">
        <f>IF(J23="","",SUM(K23:K25))</f>
        <v/>
      </c>
    </row>
    <row r="23" spans="1:11" ht="14.5" thickBot="1" x14ac:dyDescent="0.35">
      <c r="A23" s="271"/>
      <c r="B23" s="272"/>
      <c r="C23" s="112"/>
      <c r="D23" s="112"/>
      <c r="G23" s="70" t="s">
        <v>77</v>
      </c>
      <c r="H23" s="71"/>
      <c r="I23" s="85">
        <f>Forside!E11</f>
        <v>0.1</v>
      </c>
      <c r="J23" s="72" t="str">
        <f>IF(H23=A88,B88,IF(H23=A89,B89,(IF(H23=A90,B90,(IF(H23=A91,B91,(IF(H23=A92,B92,""))))))))</f>
        <v/>
      </c>
      <c r="K23" s="73" t="str">
        <f t="shared" si="0"/>
        <v/>
      </c>
    </row>
    <row r="24" spans="1:11" ht="16.5" thickBot="1" x14ac:dyDescent="0.35">
      <c r="A24" s="5"/>
      <c r="B24" s="5"/>
      <c r="C24" s="5"/>
      <c r="D24" s="5"/>
      <c r="E24" s="39"/>
      <c r="G24" s="70" t="s">
        <v>140</v>
      </c>
      <c r="H24" s="74"/>
      <c r="I24" s="85">
        <f>Forside!E12</f>
        <v>0.1</v>
      </c>
      <c r="J24" s="64" t="str">
        <f>IF(H24=A137,B137,IF(H24=A138,B138,(IF(H24=A139,B139,(IF(H24=A140,B140,(IF(H24=A141,B141,""))))))))</f>
        <v/>
      </c>
      <c r="K24" s="65" t="str">
        <f t="shared" si="0"/>
        <v/>
      </c>
    </row>
    <row r="25" spans="1:11" ht="16.5" thickBot="1" x14ac:dyDescent="0.35">
      <c r="A25" s="49" t="s">
        <v>92</v>
      </c>
      <c r="B25" s="51" t="s">
        <v>93</v>
      </c>
      <c r="C25" s="51" t="s">
        <v>94</v>
      </c>
      <c r="D25" s="50" t="s">
        <v>95</v>
      </c>
      <c r="E25" s="39"/>
      <c r="G25" s="75" t="s">
        <v>104</v>
      </c>
      <c r="H25" s="76"/>
      <c r="I25" s="85">
        <f>Forside!E13</f>
        <v>0.05</v>
      </c>
      <c r="J25" s="77" t="str">
        <f>IF(H25=A102,B102,IF(H25=A101,B101,IF(H25=A100,B100,IF(H25=A99,B99,IF(H25=A98,B98,"")))))</f>
        <v/>
      </c>
      <c r="K25" s="78" t="str">
        <f t="shared" si="0"/>
        <v/>
      </c>
    </row>
    <row r="26" spans="1:11" ht="16.5" thickBot="1" x14ac:dyDescent="0.35">
      <c r="A26" s="110"/>
      <c r="B26" s="47"/>
      <c r="C26" s="47"/>
      <c r="D26" s="48"/>
      <c r="E26" s="39"/>
      <c r="G26" s="57" t="s">
        <v>130</v>
      </c>
      <c r="H26" s="58"/>
      <c r="I26" s="59">
        <f>Forside!E14</f>
        <v>0.5</v>
      </c>
      <c r="J26" s="58"/>
      <c r="K26" s="60" t="str">
        <f>IF(J27="","",SUM(K27:K29))</f>
        <v/>
      </c>
    </row>
    <row r="27" spans="1:11" ht="16.5" thickBot="1" x14ac:dyDescent="0.35">
      <c r="E27" s="39"/>
      <c r="G27" s="79" t="s">
        <v>141</v>
      </c>
      <c r="H27" s="80"/>
      <c r="I27" s="85">
        <f>Forside!E15</f>
        <v>0.25</v>
      </c>
      <c r="J27" s="127" t="str">
        <f>IF(H27=A113,B113,IF(H27=A114,B114,(IF(H27=A115,B115,(IF(H27=A116,B116,(IF(H27=A117,B117,""))))))))</f>
        <v/>
      </c>
      <c r="K27" s="130" t="str">
        <f t="shared" si="0"/>
        <v/>
      </c>
    </row>
    <row r="28" spans="1:11" ht="14.5" thickBot="1" x14ac:dyDescent="0.3">
      <c r="G28" s="41" t="s">
        <v>62</v>
      </c>
      <c r="H28" s="74"/>
      <c r="I28" s="85">
        <f>Forside!E16</f>
        <v>0.05</v>
      </c>
      <c r="J28" s="128" t="str">
        <f>IF(H28=A128,B128,IF(H28=A129,B129,(IF(H28=A130,B130,(IF(H28=A131,B131,(IF(H28=A132,B132,""))))))))</f>
        <v/>
      </c>
      <c r="K28" s="131" t="str">
        <f t="shared" si="0"/>
        <v/>
      </c>
    </row>
    <row r="29" spans="1:11" ht="14.5" thickBot="1" x14ac:dyDescent="0.3">
      <c r="G29" s="41" t="s">
        <v>136</v>
      </c>
      <c r="H29" s="81"/>
      <c r="I29" s="85">
        <f>Forside!E17</f>
        <v>0.2</v>
      </c>
      <c r="J29" s="129" t="str">
        <f>IF(H29=A120,B120,IF(H29=A121,B121,(IF(H29=A122,B122,(IF(H29=A123,B123,(IF(H29=A124,B124,""))))))))</f>
        <v/>
      </c>
      <c r="K29" s="131" t="str">
        <f t="shared" si="0"/>
        <v/>
      </c>
    </row>
    <row r="30" spans="1:11" ht="14.5" thickBot="1" x14ac:dyDescent="0.35">
      <c r="G30" s="57" t="s">
        <v>3</v>
      </c>
      <c r="H30" s="82"/>
      <c r="I30" s="83"/>
      <c r="J30" s="84"/>
      <c r="K30" s="132" t="str">
        <f>IF(Forside!E18="100%",IF(ISNUMBER(K16*K22*K26),K16+K22+K26,""),"Forkert vægtning")</f>
        <v/>
      </c>
    </row>
    <row r="32" spans="1:11" x14ac:dyDescent="0.25">
      <c r="H32" s="17"/>
      <c r="I32" s="43"/>
    </row>
    <row r="33" spans="6:14" ht="26.25" customHeight="1" x14ac:dyDescent="0.3">
      <c r="J33" s="24" t="s">
        <v>85</v>
      </c>
      <c r="K33" s="25" t="s">
        <v>2</v>
      </c>
    </row>
    <row r="34" spans="6:14" x14ac:dyDescent="0.25">
      <c r="J34" s="26">
        <v>4</v>
      </c>
      <c r="K34" s="169" t="str">
        <f>"&gt;"&amp;Forside!$H$7</f>
        <v>&gt;1,8</v>
      </c>
    </row>
    <row r="35" spans="6:14" x14ac:dyDescent="0.25">
      <c r="J35" s="26">
        <v>3</v>
      </c>
      <c r="K35" s="169" t="str">
        <f>"&gt;="&amp;Forside!$H$8</f>
        <v>&gt;=1,35</v>
      </c>
    </row>
    <row r="36" spans="6:14" ht="12.75" customHeight="1" x14ac:dyDescent="0.25">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f>B7</f>
        <v>0</v>
      </c>
      <c r="H46" s="141">
        <f>B8*1000</f>
        <v>0</v>
      </c>
      <c r="I46" s="141"/>
      <c r="J46" s="145">
        <f>H46*I46</f>
        <v>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0</v>
      </c>
    </row>
    <row r="55" spans="1:17" ht="27.75" customHeight="1" thickBot="1" x14ac:dyDescent="0.35">
      <c r="G55" s="149" t="s">
        <v>175</v>
      </c>
      <c r="H55" s="150"/>
      <c r="I55" s="150"/>
      <c r="J55" s="146">
        <f>SUM(J46:J54)</f>
        <v>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sheetProtection sheet="1" objects="1" scenarios="1"/>
  <mergeCells count="5">
    <mergeCell ref="L46:N52"/>
    <mergeCell ref="L45:N45"/>
    <mergeCell ref="M4:N4"/>
    <mergeCell ref="A13:B16"/>
    <mergeCell ref="A19:B23"/>
  </mergeCells>
  <dataValidations disablePrompts="1" count="9">
    <dataValidation type="list" allowBlank="1" showInputMessage="1" showErrorMessage="1" sqref="H5" xr:uid="{21727893-909D-4ACB-9E57-7DF64100E9CC}">
      <formula1>$A$81:$A$85</formula1>
    </dataValidation>
    <dataValidation type="list" allowBlank="1" showInputMessage="1" showErrorMessage="1" sqref="H23" xr:uid="{FB3EF5D3-8AB6-48FD-BAB5-D333873A57A7}">
      <formula1>$A$88:$A$92</formula1>
    </dataValidation>
    <dataValidation type="list" allowBlank="1" showInputMessage="1" showErrorMessage="1" sqref="H7" xr:uid="{80EF3015-C087-4A1A-A036-8A9B0E3A445F}">
      <formula1>$A$69:$A$78</formula1>
    </dataValidation>
    <dataValidation type="list" allowBlank="1" showInputMessage="1" showErrorMessage="1" sqref="H29" xr:uid="{41D52C12-6BB0-4C7D-9DAC-1A74CCEC2939}">
      <formula1>$A$120:$A$124</formula1>
    </dataValidation>
    <dataValidation type="list" allowBlank="1" showInputMessage="1" showErrorMessage="1" sqref="H24" xr:uid="{38F35286-6B8B-4F18-A595-2AC8F690C78D}">
      <formula1>$A$137:$A$141</formula1>
    </dataValidation>
    <dataValidation type="list" allowBlank="1" showInputMessage="1" showErrorMessage="1" sqref="H28" xr:uid="{3F46011E-A1C6-4FC9-A6CF-B0B925A6B4C4}">
      <formula1>$A$128:$A$132</formula1>
    </dataValidation>
    <dataValidation type="list" allowBlank="1" showInputMessage="1" showErrorMessage="1" sqref="H21" xr:uid="{E7892BBD-8F83-40AE-B884-11DF4218E0DD}">
      <formula1>$A$106:$A$110</formula1>
    </dataValidation>
    <dataValidation type="list" allowBlank="1" showInputMessage="1" showErrorMessage="1" sqref="H25" xr:uid="{9F8C2539-4D0A-420B-B4B9-F41380E3230E}">
      <formula1>$A$97:$A$102</formula1>
    </dataValidation>
    <dataValidation type="list" allowBlank="1" showInputMessage="1" showErrorMessage="1" sqref="H27" xr:uid="{84C767B3-95E0-4788-BA5B-473E77DB30E4}">
      <formula1>$A$113:$A$117</formula1>
    </dataValidation>
  </dataValidations>
  <pageMargins left="0.74803149606299213" right="0.74803149606299213" top="0.6692913385826772" bottom="0.59055118110236227" header="0.51181102362204722" footer="0.51181102362204722"/>
  <pageSetup paperSize="9" scale="70" fitToWidth="0" fitToHeight="0" orientation="portrait" r:id="rId1"/>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legacyDrawingHF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4DF614-6833-45C8-8A77-C72CA7812C31}">
  <sheetPr codeName="Sheet75"/>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18</v>
      </c>
      <c r="C4" s="151"/>
      <c r="D4" s="38" t="s">
        <v>2</v>
      </c>
      <c r="E4" s="115">
        <f>IF(K30&gt;0,K30,"")</f>
        <v>0.9</v>
      </c>
      <c r="G4" s="133" t="s">
        <v>173</v>
      </c>
      <c r="H4" s="124"/>
      <c r="L4" s="139" t="s">
        <v>5</v>
      </c>
      <c r="M4" s="284" t="s">
        <v>466</v>
      </c>
      <c r="N4" s="260"/>
    </row>
    <row r="5" spans="1:14" ht="25" x14ac:dyDescent="0.25">
      <c r="A5" s="37" t="s">
        <v>96</v>
      </c>
      <c r="B5" s="18" t="s">
        <v>259</v>
      </c>
      <c r="C5" s="164" t="s">
        <v>260</v>
      </c>
      <c r="D5" s="38" t="s">
        <v>84</v>
      </c>
      <c r="E5" s="115">
        <f>IF(B9&gt;0,E4/B9,"")</f>
        <v>8.0348175426849688E-2</v>
      </c>
      <c r="G5" s="122" t="s">
        <v>98</v>
      </c>
      <c r="H5" s="123" t="s">
        <v>148</v>
      </c>
      <c r="I5" s="1" t="s">
        <v>182</v>
      </c>
    </row>
    <row r="6" spans="1:14" ht="13" thickBot="1" x14ac:dyDescent="0.3">
      <c r="A6" s="38" t="s">
        <v>97</v>
      </c>
      <c r="B6" s="19" t="s">
        <v>261</v>
      </c>
      <c r="C6" s="151"/>
      <c r="D6" s="116" t="s">
        <v>85</v>
      </c>
      <c r="E6" s="117">
        <f>IF(E4="","",IF(E4&gt;=Forside!$H$7,4,IF(E4&gt;=Forside!$H$8,3,IF(E4&gt;=Forside!$H$9,2,IF(E4&gt;0,1,"")))))</f>
        <v>2</v>
      </c>
      <c r="G6" s="38" t="s">
        <v>99</v>
      </c>
      <c r="H6" s="40">
        <v>25</v>
      </c>
      <c r="I6" s="1" t="s">
        <v>182</v>
      </c>
    </row>
    <row r="7" spans="1:14" ht="13" thickBot="1" x14ac:dyDescent="0.3">
      <c r="A7" s="38" t="s">
        <v>77</v>
      </c>
      <c r="B7" s="19" t="s">
        <v>192</v>
      </c>
      <c r="C7" s="151"/>
      <c r="D7" s="27"/>
      <c r="E7" s="28"/>
      <c r="G7" s="17" t="s">
        <v>66</v>
      </c>
      <c r="H7" s="42">
        <v>80</v>
      </c>
    </row>
    <row r="8" spans="1:14" ht="13" x14ac:dyDescent="0.3">
      <c r="A8" s="38" t="s">
        <v>91</v>
      </c>
      <c r="B8" s="14">
        <v>2.9</v>
      </c>
      <c r="C8" s="2"/>
      <c r="D8" s="118" t="s">
        <v>87</v>
      </c>
      <c r="E8" s="114"/>
      <c r="G8" s="38" t="s">
        <v>100</v>
      </c>
      <c r="H8" s="14">
        <v>75</v>
      </c>
      <c r="I8" s="1" t="s">
        <v>182</v>
      </c>
    </row>
    <row r="9" spans="1:14" ht="13" thickBot="1" x14ac:dyDescent="0.3">
      <c r="A9" s="125" t="s">
        <v>6</v>
      </c>
      <c r="B9" s="20">
        <f>J55/1000000</f>
        <v>11.20125</v>
      </c>
      <c r="C9" s="2"/>
      <c r="D9" s="38" t="s">
        <v>112</v>
      </c>
      <c r="E9" s="119">
        <f>K16</f>
        <v>0.55000000000000004</v>
      </c>
      <c r="G9" s="38" t="s">
        <v>101</v>
      </c>
      <c r="H9" s="14">
        <v>85</v>
      </c>
      <c r="I9" s="1" t="s">
        <v>182</v>
      </c>
    </row>
    <row r="10" spans="1:14" x14ac:dyDescent="0.25">
      <c r="C10" s="36"/>
      <c r="D10" s="38" t="s">
        <v>123</v>
      </c>
      <c r="E10" s="120">
        <f>K22</f>
        <v>0.2</v>
      </c>
      <c r="G10" s="38" t="s">
        <v>102</v>
      </c>
      <c r="H10" s="14">
        <v>1</v>
      </c>
    </row>
    <row r="11" spans="1:14" ht="24.75" customHeight="1" thickBot="1" x14ac:dyDescent="0.3">
      <c r="C11" s="36"/>
      <c r="D11" s="116" t="s">
        <v>130</v>
      </c>
      <c r="E11" s="121">
        <f>K26</f>
        <v>0.15000000000000002</v>
      </c>
    </row>
    <row r="12" spans="1:14" ht="13.5" thickBot="1" x14ac:dyDescent="0.3">
      <c r="A12" s="135" t="s">
        <v>17</v>
      </c>
      <c r="B12" s="105"/>
      <c r="C12" s="17"/>
      <c r="D12" s="17"/>
      <c r="E12"/>
    </row>
    <row r="13" spans="1:14" ht="13" x14ac:dyDescent="0.25">
      <c r="A13" s="261" t="s">
        <v>262</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0.55000000000000004</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85</v>
      </c>
      <c r="I20" s="85">
        <f>Forside!E8</f>
        <v>0.05</v>
      </c>
      <c r="J20" s="66">
        <f>IF(H20="","",IF(H19="","",IF(H20&lt;=H19,0,IF(H20&lt;H19*1.05,1,IF(H20&lt;H19*1.1,2,IF(H20&lt;H19*1.15,3,IF(H20&gt;=H19*1.15,4,"")))))))</f>
        <v>2</v>
      </c>
      <c r="K20" s="65">
        <f t="shared" si="0"/>
        <v>0.1</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10" t="s">
        <v>184</v>
      </c>
      <c r="B26" s="47"/>
      <c r="C26" s="47"/>
      <c r="D26" s="48"/>
      <c r="E26" s="39"/>
      <c r="G26" s="57" t="s">
        <v>130</v>
      </c>
      <c r="H26" s="58"/>
      <c r="I26" s="59">
        <f>Forside!E14</f>
        <v>0.5</v>
      </c>
      <c r="J26" s="58"/>
      <c r="K26" s="60">
        <f>IF(J27="","",SUM(K27:K29))</f>
        <v>0.15000000000000002</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0.9</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442</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2900</v>
      </c>
      <c r="I46" s="141">
        <f>Enhedspriser!C3</f>
        <v>3750</v>
      </c>
      <c r="J46" s="145">
        <f>H46*I46</f>
        <v>10875000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326250</v>
      </c>
    </row>
    <row r="55" spans="1:17" ht="27.75" customHeight="1" thickBot="1" x14ac:dyDescent="0.35">
      <c r="G55" s="149" t="s">
        <v>175</v>
      </c>
      <c r="H55" s="150"/>
      <c r="I55" s="150"/>
      <c r="J55" s="146">
        <f>SUM(J46:J54)</f>
        <v>11201250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5F71D135-9BF8-4617-8840-1BEE208A0183}">
      <formula1>$A$113:$A$117</formula1>
    </dataValidation>
    <dataValidation type="list" allowBlank="1" showInputMessage="1" showErrorMessage="1" sqref="H25" xr:uid="{98FB4E83-3CB7-4C84-9F27-3638B9DA810F}">
      <formula1>$A$97:$A$102</formula1>
    </dataValidation>
    <dataValidation type="list" allowBlank="1" showInputMessage="1" showErrorMessage="1" sqref="H21" xr:uid="{F882FCFB-1197-4895-B0A3-238BA6678E31}">
      <formula1>$A$106:$A$110</formula1>
    </dataValidation>
    <dataValidation type="list" allowBlank="1" showInputMessage="1" showErrorMessage="1" sqref="H28" xr:uid="{AFD4E45D-A88A-4549-8DE1-F96B5A2C9948}">
      <formula1>$A$128:$A$132</formula1>
    </dataValidation>
    <dataValidation type="list" allowBlank="1" showInputMessage="1" showErrorMessage="1" sqref="H24" xr:uid="{C4C30BCF-47E7-4B52-B125-7B4F12DDD5F9}">
      <formula1>$A$137:$A$141</formula1>
    </dataValidation>
    <dataValidation type="list" allowBlank="1" showInputMessage="1" showErrorMessage="1" sqref="H29" xr:uid="{7E53282C-0C7B-40F0-BA40-294A3638C212}">
      <formula1>$A$120:$A$124</formula1>
    </dataValidation>
    <dataValidation type="list" allowBlank="1" showInputMessage="1" showErrorMessage="1" sqref="H7" xr:uid="{BF7CCCFE-9109-42B8-A369-1C047345431B}">
      <formula1>$A$69:$A$78</formula1>
    </dataValidation>
    <dataValidation type="list" allowBlank="1" showInputMessage="1" showErrorMessage="1" sqref="H23" xr:uid="{1CC1DE38-BE6E-45AE-ADEF-A938510D7CD9}">
      <formula1>$A$88:$A$92</formula1>
    </dataValidation>
    <dataValidation type="list" allowBlank="1" showInputMessage="1" showErrorMessage="1" sqref="H5" xr:uid="{47E5C083-A714-4918-AAD3-6A3E1ABCB484}">
      <formula1>$A$81:$A$85</formula1>
    </dataValidation>
  </dataValidations>
  <hyperlinks>
    <hyperlink ref="C5" r:id="rId1" xr:uid="{C74F4AB5-BD5B-48DC-86F8-1DDFF7FF9F4C}"/>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6E3C75-AEBD-4A12-A00D-AE867C76D87E}">
  <sheetPr codeName="Sheet76"/>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19</v>
      </c>
      <c r="C4" s="151"/>
      <c r="D4" s="38" t="s">
        <v>2</v>
      </c>
      <c r="E4" s="115">
        <f>IF(K30&gt;0,K30,"")</f>
        <v>0.9</v>
      </c>
      <c r="G4" s="133" t="s">
        <v>173</v>
      </c>
      <c r="H4" s="124"/>
      <c r="L4" s="139" t="s">
        <v>5</v>
      </c>
      <c r="M4" s="284" t="s">
        <v>466</v>
      </c>
      <c r="N4" s="260"/>
    </row>
    <row r="5" spans="1:14" ht="25" x14ac:dyDescent="0.25">
      <c r="A5" s="37" t="s">
        <v>96</v>
      </c>
      <c r="B5" s="18" t="s">
        <v>263</v>
      </c>
      <c r="C5" s="164" t="s">
        <v>264</v>
      </c>
      <c r="D5" s="38" t="s">
        <v>84</v>
      </c>
      <c r="E5" s="115">
        <f>IF(B9&gt;0,E4/B9,"")</f>
        <v>5.1779935275080902E-2</v>
      </c>
      <c r="G5" s="122" t="s">
        <v>98</v>
      </c>
      <c r="H5" s="123" t="s">
        <v>148</v>
      </c>
      <c r="I5" s="5" t="s">
        <v>182</v>
      </c>
    </row>
    <row r="6" spans="1:14" ht="13" thickBot="1" x14ac:dyDescent="0.3">
      <c r="A6" s="38" t="s">
        <v>97</v>
      </c>
      <c r="B6" s="19" t="s">
        <v>265</v>
      </c>
      <c r="C6" s="151"/>
      <c r="D6" s="116" t="s">
        <v>85</v>
      </c>
      <c r="E6" s="117">
        <f>IF(E4="","",IF(E4&gt;=Forside!$H$7,4,IF(E4&gt;=Forside!$H$8,3,IF(E4&gt;=Forside!$H$9,2,IF(E4&gt;0,1,"")))))</f>
        <v>2</v>
      </c>
      <c r="G6" s="38" t="s">
        <v>99</v>
      </c>
      <c r="H6" s="40">
        <v>25</v>
      </c>
      <c r="I6" s="1" t="s">
        <v>182</v>
      </c>
    </row>
    <row r="7" spans="1:14" ht="13" thickBot="1" x14ac:dyDescent="0.3">
      <c r="A7" s="38" t="s">
        <v>77</v>
      </c>
      <c r="B7" s="19" t="s">
        <v>192</v>
      </c>
      <c r="C7" s="151"/>
      <c r="D7" s="27"/>
      <c r="E7" s="28"/>
      <c r="G7" s="17" t="s">
        <v>66</v>
      </c>
      <c r="H7" s="42">
        <v>80</v>
      </c>
    </row>
    <row r="8" spans="1:14" ht="13" x14ac:dyDescent="0.3">
      <c r="A8" s="38" t="s">
        <v>91</v>
      </c>
      <c r="B8" s="14">
        <v>4.0999999999999996</v>
      </c>
      <c r="C8" s="2"/>
      <c r="D8" s="118" t="s">
        <v>87</v>
      </c>
      <c r="E8" s="114"/>
      <c r="G8" s="38" t="s">
        <v>100</v>
      </c>
      <c r="H8" s="14">
        <v>75</v>
      </c>
      <c r="I8" s="1" t="s">
        <v>182</v>
      </c>
    </row>
    <row r="9" spans="1:14" ht="13" thickBot="1" x14ac:dyDescent="0.3">
      <c r="A9" s="125" t="s">
        <v>6</v>
      </c>
      <c r="B9" s="20">
        <f>J55/1000000</f>
        <v>17.381250000000001</v>
      </c>
      <c r="C9" s="2"/>
      <c r="D9" s="38" t="s">
        <v>112</v>
      </c>
      <c r="E9" s="119">
        <f>K16</f>
        <v>0.55000000000000004</v>
      </c>
      <c r="G9" s="38" t="s">
        <v>101</v>
      </c>
      <c r="H9" s="14">
        <v>85</v>
      </c>
      <c r="I9" s="1" t="s">
        <v>182</v>
      </c>
    </row>
    <row r="10" spans="1:14" x14ac:dyDescent="0.25">
      <c r="C10" s="36"/>
      <c r="D10" s="38" t="s">
        <v>123</v>
      </c>
      <c r="E10" s="120">
        <f>K22</f>
        <v>0.2</v>
      </c>
      <c r="G10" s="38" t="s">
        <v>102</v>
      </c>
      <c r="H10" s="14">
        <v>2</v>
      </c>
    </row>
    <row r="11" spans="1:14" ht="24.75" customHeight="1" thickBot="1" x14ac:dyDescent="0.3">
      <c r="C11" s="36"/>
      <c r="D11" s="116" t="s">
        <v>130</v>
      </c>
      <c r="E11" s="121">
        <f>K26</f>
        <v>0.15000000000000002</v>
      </c>
    </row>
    <row r="12" spans="1:14" ht="13.5" thickBot="1" x14ac:dyDescent="0.3">
      <c r="A12" s="135" t="s">
        <v>17</v>
      </c>
      <c r="B12" s="105"/>
      <c r="C12" s="17"/>
      <c r="D12" s="17"/>
      <c r="E12"/>
    </row>
    <row r="13" spans="1:14" ht="13" x14ac:dyDescent="0.25">
      <c r="A13" s="261" t="s">
        <v>266</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0.55000000000000004</v>
      </c>
    </row>
    <row r="17" spans="1:11" ht="25.5" thickBot="1" x14ac:dyDescent="0.3">
      <c r="A17" s="5"/>
      <c r="B17" s="5"/>
      <c r="C17" s="5"/>
      <c r="D17" s="5"/>
      <c r="G17" s="61" t="s">
        <v>137</v>
      </c>
      <c r="H17" s="102">
        <f>IF(H10="","",H10)</f>
        <v>2</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1" t="s">
        <v>267</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85</v>
      </c>
      <c r="I20" s="85">
        <f>Forside!E8</f>
        <v>0.05</v>
      </c>
      <c r="J20" s="66">
        <f>IF(H20="","",IF(H19="","",IF(H20&lt;=H19,0,IF(H20&lt;H19*1.05,1,IF(H20&lt;H19*1.1,2,IF(H20&lt;H19*1.15,3,IF(H20&gt;=H19*1.15,4,"")))))))</f>
        <v>2</v>
      </c>
      <c r="K20" s="65">
        <f t="shared" si="0"/>
        <v>0.1</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2</v>
      </c>
      <c r="D26" s="156">
        <v>0</v>
      </c>
      <c r="E26" s="39"/>
      <c r="G26" s="57" t="s">
        <v>130</v>
      </c>
      <c r="H26" s="58"/>
      <c r="I26" s="59">
        <f>Forside!E14</f>
        <v>0.5</v>
      </c>
      <c r="J26" s="58"/>
      <c r="K26" s="60">
        <f>IF(J27="","",SUM(K27:K29))</f>
        <v>0.15000000000000002</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0.9</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442</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4100</v>
      </c>
      <c r="I46" s="141">
        <f>Enhedspriser!C3</f>
        <v>3750</v>
      </c>
      <c r="J46" s="145">
        <f>H46*I46</f>
        <v>15375000</v>
      </c>
      <c r="L46" s="250" t="s">
        <v>172</v>
      </c>
      <c r="M46" s="251"/>
      <c r="N46" s="252"/>
    </row>
    <row r="47" spans="6:14" ht="12.75" customHeight="1" x14ac:dyDescent="0.3">
      <c r="G47" s="140" t="s">
        <v>268</v>
      </c>
      <c r="H47" s="141">
        <v>100</v>
      </c>
      <c r="I47" s="141">
        <v>15000</v>
      </c>
      <c r="J47" s="145">
        <f>H47*I47</f>
        <v>1500000</v>
      </c>
      <c r="K47" s="5" t="s">
        <v>224</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506250</v>
      </c>
    </row>
    <row r="55" spans="1:17" ht="27.75" customHeight="1" thickBot="1" x14ac:dyDescent="0.35">
      <c r="G55" s="149" t="s">
        <v>175</v>
      </c>
      <c r="H55" s="150"/>
      <c r="I55" s="150"/>
      <c r="J55" s="146">
        <f>SUM(J46:J54)</f>
        <v>17381250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F3D986E7-CB93-4695-856E-5FD11E87D3EA}">
      <formula1>$A$113:$A$117</formula1>
    </dataValidation>
    <dataValidation type="list" allowBlank="1" showInputMessage="1" showErrorMessage="1" sqref="H25" xr:uid="{E5892C51-6376-4138-9C0F-532C96E7799B}">
      <formula1>$A$97:$A$102</formula1>
    </dataValidation>
    <dataValidation type="list" allowBlank="1" showInputMessage="1" showErrorMessage="1" sqref="H21" xr:uid="{B6E56487-2569-489C-92D0-5C79835D09CE}">
      <formula1>$A$106:$A$110</formula1>
    </dataValidation>
    <dataValidation type="list" allowBlank="1" showInputMessage="1" showErrorMessage="1" sqref="H28" xr:uid="{0AAAE5CE-BC00-4CC5-8E4A-CF37B833DABA}">
      <formula1>$A$128:$A$132</formula1>
    </dataValidation>
    <dataValidation type="list" allowBlank="1" showInputMessage="1" showErrorMessage="1" sqref="H24" xr:uid="{33FD4DD2-711C-4AD8-8B25-BA74A918BA92}">
      <formula1>$A$137:$A$141</formula1>
    </dataValidation>
    <dataValidation type="list" allowBlank="1" showInputMessage="1" showErrorMessage="1" sqref="H29" xr:uid="{B08C0077-D4AB-4921-B456-56BAF3B8F062}">
      <formula1>$A$120:$A$124</formula1>
    </dataValidation>
    <dataValidation type="list" allowBlank="1" showInputMessage="1" showErrorMessage="1" sqref="H7" xr:uid="{7F72566B-B23E-4E2C-9955-55AD3D9EF982}">
      <formula1>$A$69:$A$78</formula1>
    </dataValidation>
    <dataValidation type="list" allowBlank="1" showInputMessage="1" showErrorMessage="1" sqref="H23" xr:uid="{239E0CE4-B1AE-448C-8BD9-A20DD134C01E}">
      <formula1>$A$88:$A$92</formula1>
    </dataValidation>
    <dataValidation type="list" allowBlank="1" showInputMessage="1" showErrorMessage="1" sqref="H5" xr:uid="{F2118CCA-8AA4-4B21-B01C-7CD8A15B67FD}">
      <formula1>$A$81:$A$85</formula1>
    </dataValidation>
  </dataValidations>
  <hyperlinks>
    <hyperlink ref="C5" r:id="rId1" xr:uid="{F208E1E3-EAC8-4C51-AC6C-AA8031779AEB}"/>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4F47B-1D07-4F94-9062-E43CC794DBE9}">
  <sheetPr codeName="Sheet77"/>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20</v>
      </c>
      <c r="C4" s="151"/>
      <c r="D4" s="38" t="s">
        <v>2</v>
      </c>
      <c r="E4" s="115">
        <f>IF(K30&gt;0,K30,"")</f>
        <v>0.95000000000000018</v>
      </c>
      <c r="G4" s="133" t="s">
        <v>173</v>
      </c>
      <c r="H4" s="124"/>
      <c r="L4" s="139" t="s">
        <v>5</v>
      </c>
      <c r="M4" s="284" t="s">
        <v>466</v>
      </c>
      <c r="N4" s="260"/>
    </row>
    <row r="5" spans="1:14" ht="25" x14ac:dyDescent="0.25">
      <c r="A5" s="37" t="s">
        <v>96</v>
      </c>
      <c r="B5" s="18" t="s">
        <v>269</v>
      </c>
      <c r="C5" s="164" t="s">
        <v>270</v>
      </c>
      <c r="D5" s="38" t="s">
        <v>84</v>
      </c>
      <c r="E5" s="115">
        <f>IF(B9&gt;0,E4/B9,"")</f>
        <v>0.150584505646919</v>
      </c>
      <c r="G5" s="122" t="s">
        <v>98</v>
      </c>
      <c r="H5" s="123" t="s">
        <v>148</v>
      </c>
    </row>
    <row r="6" spans="1:14" ht="13" thickBot="1" x14ac:dyDescent="0.3">
      <c r="A6" s="38" t="s">
        <v>97</v>
      </c>
      <c r="B6" s="19" t="s">
        <v>271</v>
      </c>
      <c r="C6" s="151"/>
      <c r="D6" s="116" t="s">
        <v>85</v>
      </c>
      <c r="E6" s="117">
        <f>IF(E4="","",IF(E4&gt;=Forside!$H$7,4,IF(E4&gt;=Forside!$H$8,3,IF(E4&gt;=Forside!$H$9,2,IF(E4&gt;0,1,"")))))</f>
        <v>2</v>
      </c>
      <c r="G6" s="38" t="s">
        <v>99</v>
      </c>
      <c r="H6" s="40">
        <v>25</v>
      </c>
      <c r="I6" s="1" t="s">
        <v>182</v>
      </c>
    </row>
    <row r="7" spans="1:14" ht="13" thickBot="1" x14ac:dyDescent="0.3">
      <c r="A7" s="38" t="s">
        <v>77</v>
      </c>
      <c r="B7" s="19" t="s">
        <v>192</v>
      </c>
      <c r="C7" s="151"/>
      <c r="D7" s="27"/>
      <c r="E7" s="28"/>
      <c r="G7" s="17" t="s">
        <v>66</v>
      </c>
      <c r="H7" s="42">
        <v>80</v>
      </c>
    </row>
    <row r="8" spans="1:14" ht="13" x14ac:dyDescent="0.3">
      <c r="A8" s="38" t="s">
        <v>91</v>
      </c>
      <c r="B8" s="14">
        <v>1.5</v>
      </c>
      <c r="C8" s="2"/>
      <c r="D8" s="118" t="s">
        <v>87</v>
      </c>
      <c r="E8" s="114"/>
      <c r="G8" s="38" t="s">
        <v>100</v>
      </c>
      <c r="H8" s="14">
        <v>52</v>
      </c>
    </row>
    <row r="9" spans="1:14" ht="13" thickBot="1" x14ac:dyDescent="0.3">
      <c r="A9" s="125" t="s">
        <v>6</v>
      </c>
      <c r="B9" s="20">
        <f>J55/1000000</f>
        <v>6.3087499999999999</v>
      </c>
      <c r="C9" s="2"/>
      <c r="D9" s="38" t="s">
        <v>112</v>
      </c>
      <c r="E9" s="119">
        <f>K16</f>
        <v>0.4</v>
      </c>
      <c r="G9" s="38" t="s">
        <v>101</v>
      </c>
      <c r="H9" s="14">
        <v>63</v>
      </c>
    </row>
    <row r="10" spans="1:14" x14ac:dyDescent="0.25">
      <c r="C10" s="36"/>
      <c r="D10" s="38" t="s">
        <v>123</v>
      </c>
      <c r="E10" s="120">
        <f>K22</f>
        <v>0.2</v>
      </c>
      <c r="G10" s="38" t="s">
        <v>102</v>
      </c>
      <c r="H10" s="14">
        <v>0</v>
      </c>
    </row>
    <row r="11" spans="1:14" ht="24.75" customHeight="1" thickBot="1" x14ac:dyDescent="0.3">
      <c r="C11" s="36"/>
      <c r="D11" s="116" t="s">
        <v>130</v>
      </c>
      <c r="E11" s="121">
        <f>K26</f>
        <v>0.35000000000000003</v>
      </c>
    </row>
    <row r="12" spans="1:14" ht="13.5" thickBot="1" x14ac:dyDescent="0.3">
      <c r="A12" s="135" t="s">
        <v>17</v>
      </c>
      <c r="B12" s="105"/>
      <c r="C12" s="17"/>
      <c r="D12" s="17"/>
      <c r="E12"/>
    </row>
    <row r="13" spans="1:14" ht="13" x14ac:dyDescent="0.25">
      <c r="A13" s="261" t="s">
        <v>272</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273</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63</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0</v>
      </c>
      <c r="D26" s="156">
        <v>0</v>
      </c>
      <c r="E26" s="39"/>
      <c r="G26" s="57" t="s">
        <v>130</v>
      </c>
      <c r="H26" s="58"/>
      <c r="I26" s="59">
        <f>Forside!E14</f>
        <v>0.5</v>
      </c>
      <c r="J26" s="58"/>
      <c r="K26" s="60">
        <f>IF(J27="","",SUM(K27:K29))</f>
        <v>0.35000000000000003</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0.95000000000000018</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442</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1500</v>
      </c>
      <c r="I46" s="141">
        <f>Enhedspriser!C3</f>
        <v>3750</v>
      </c>
      <c r="J46" s="145">
        <f>H46*I46</f>
        <v>5625000</v>
      </c>
      <c r="L46" s="250" t="s">
        <v>172</v>
      </c>
      <c r="M46" s="251"/>
      <c r="N46" s="252"/>
    </row>
    <row r="47" spans="6:14" ht="12.75" customHeight="1" x14ac:dyDescent="0.3">
      <c r="G47" s="140" t="s">
        <v>274</v>
      </c>
      <c r="H47" s="141">
        <v>1</v>
      </c>
      <c r="I47" s="141">
        <v>500000</v>
      </c>
      <c r="J47" s="145">
        <f>H47*I47</f>
        <v>500000</v>
      </c>
      <c r="K47" s="5" t="s">
        <v>224</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183750</v>
      </c>
    </row>
    <row r="55" spans="1:17" ht="27.75" customHeight="1" thickBot="1" x14ac:dyDescent="0.35">
      <c r="G55" s="149" t="s">
        <v>175</v>
      </c>
      <c r="H55" s="150"/>
      <c r="I55" s="150"/>
      <c r="J55" s="146">
        <f>SUM(J46:J54)</f>
        <v>6308750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D970BC0B-74FE-47BD-B7A7-BD6DC13384CB}">
      <formula1>$A$113:$A$117</formula1>
    </dataValidation>
    <dataValidation type="list" allowBlank="1" showInputMessage="1" showErrorMessage="1" sqref="H25" xr:uid="{C6F5E741-97DA-4572-B2B5-9168415B6824}">
      <formula1>$A$97:$A$102</formula1>
    </dataValidation>
    <dataValidation type="list" allowBlank="1" showInputMessage="1" showErrorMessage="1" sqref="H21" xr:uid="{396CFBAD-085F-4F89-A812-42AA3BA2BAE5}">
      <formula1>$A$106:$A$110</formula1>
    </dataValidation>
    <dataValidation type="list" allowBlank="1" showInputMessage="1" showErrorMessage="1" sqref="H28" xr:uid="{9C89426E-313F-4C21-B8BD-7AB4141ABEE3}">
      <formula1>$A$128:$A$132</formula1>
    </dataValidation>
    <dataValidation type="list" allowBlank="1" showInputMessage="1" showErrorMessage="1" sqref="H24" xr:uid="{D020D090-F369-4B39-BF25-50F406E87D4C}">
      <formula1>$A$137:$A$141</formula1>
    </dataValidation>
    <dataValidation type="list" allowBlank="1" showInputMessage="1" showErrorMessage="1" sqref="H29" xr:uid="{37DF80B4-6B34-4AD3-8793-EFFB5015B942}">
      <formula1>$A$120:$A$124</formula1>
    </dataValidation>
    <dataValidation type="list" allowBlank="1" showInputMessage="1" showErrorMessage="1" sqref="H7" xr:uid="{7E1DA02E-EFF4-4795-80B8-BA06795D47D3}">
      <formula1>$A$69:$A$78</formula1>
    </dataValidation>
    <dataValidation type="list" allowBlank="1" showInputMessage="1" showErrorMessage="1" sqref="H23" xr:uid="{D4A4092A-45AC-4922-8980-2443D4A9CBF7}">
      <formula1>$A$88:$A$92</formula1>
    </dataValidation>
    <dataValidation type="list" allowBlank="1" showInputMessage="1" showErrorMessage="1" sqref="H5" xr:uid="{96C0A807-30B4-4CDC-A9A3-F287A9088A9D}">
      <formula1>$A$81:$A$85</formula1>
    </dataValidation>
  </dataValidations>
  <hyperlinks>
    <hyperlink ref="C5" r:id="rId1" xr:uid="{5641AC0C-1A99-42C3-AA1C-D7A9463C73D6}"/>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6BE4A-FB1B-49E6-BC9B-C89394145C5C}">
  <sheetPr codeName="Sheet78"/>
  <dimension ref="A1:Q174"/>
  <sheetViews>
    <sheetView view="pageLayout" topLeftCell="A2"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21</v>
      </c>
      <c r="C4" s="151"/>
      <c r="D4" s="38" t="s">
        <v>2</v>
      </c>
      <c r="E4" s="115">
        <f>IF(K30&gt;0,K30,"")</f>
        <v>2.3000000000000003</v>
      </c>
      <c r="G4" s="133" t="s">
        <v>173</v>
      </c>
      <c r="H4" s="124"/>
      <c r="L4" s="139" t="s">
        <v>5</v>
      </c>
      <c r="M4" s="284" t="s">
        <v>466</v>
      </c>
      <c r="N4" s="260"/>
    </row>
    <row r="5" spans="1:14" ht="25" x14ac:dyDescent="0.25">
      <c r="A5" s="37" t="s">
        <v>96</v>
      </c>
      <c r="B5" s="18" t="s">
        <v>275</v>
      </c>
      <c r="C5" s="164" t="s">
        <v>276</v>
      </c>
      <c r="D5" s="38" t="s">
        <v>84</v>
      </c>
      <c r="E5" s="115">
        <f>IF(B9&gt;0,E4/B9,"")</f>
        <v>0.21785460573052337</v>
      </c>
      <c r="G5" s="122" t="s">
        <v>98</v>
      </c>
      <c r="H5" s="123" t="s">
        <v>139</v>
      </c>
    </row>
    <row r="6" spans="1:14" ht="13" thickBot="1" x14ac:dyDescent="0.3">
      <c r="A6" s="38" t="s">
        <v>97</v>
      </c>
      <c r="B6" s="19" t="s">
        <v>277</v>
      </c>
      <c r="C6" s="151"/>
      <c r="D6" s="116" t="s">
        <v>85</v>
      </c>
      <c r="E6" s="117">
        <f>IF(E4="","",IF(E4&gt;=Forside!$H$7,4,IF(E4&gt;=Forside!$H$8,3,IF(E4&gt;=Forside!$H$9,2,IF(E4&gt;0,1,"")))))</f>
        <v>4</v>
      </c>
      <c r="G6" s="38" t="s">
        <v>99</v>
      </c>
      <c r="H6" s="40">
        <v>40</v>
      </c>
      <c r="I6" s="1" t="s">
        <v>182</v>
      </c>
    </row>
    <row r="7" spans="1:14" ht="13" thickBot="1" x14ac:dyDescent="0.3">
      <c r="A7" s="38" t="s">
        <v>77</v>
      </c>
      <c r="B7" s="19" t="s">
        <v>278</v>
      </c>
      <c r="C7" s="151"/>
      <c r="D7" s="27"/>
      <c r="E7" s="28"/>
      <c r="G7" s="17" t="s">
        <v>66</v>
      </c>
      <c r="H7" s="42">
        <v>50</v>
      </c>
    </row>
    <row r="8" spans="1:14" ht="13" x14ac:dyDescent="0.3">
      <c r="A8" s="38" t="s">
        <v>91</v>
      </c>
      <c r="B8" s="14">
        <v>1.8</v>
      </c>
      <c r="C8" s="2"/>
      <c r="D8" s="118" t="s">
        <v>87</v>
      </c>
      <c r="E8" s="114"/>
      <c r="G8" s="38" t="s">
        <v>100</v>
      </c>
      <c r="H8" s="14">
        <v>49</v>
      </c>
    </row>
    <row r="9" spans="1:14" ht="13" thickBot="1" x14ac:dyDescent="0.3">
      <c r="A9" s="125" t="s">
        <v>6</v>
      </c>
      <c r="B9" s="20">
        <f>J55/1000000</f>
        <v>10.557499999999999</v>
      </c>
      <c r="C9" s="2"/>
      <c r="D9" s="38" t="s">
        <v>112</v>
      </c>
      <c r="E9" s="119">
        <f>K16</f>
        <v>0.45</v>
      </c>
      <c r="G9" s="38" t="s">
        <v>101</v>
      </c>
      <c r="H9" s="14">
        <v>57</v>
      </c>
    </row>
    <row r="10" spans="1:14" x14ac:dyDescent="0.25">
      <c r="C10" s="36"/>
      <c r="D10" s="38" t="s">
        <v>123</v>
      </c>
      <c r="E10" s="120">
        <f>K22</f>
        <v>0.4</v>
      </c>
      <c r="G10" s="38" t="s">
        <v>102</v>
      </c>
      <c r="H10" s="14">
        <v>1</v>
      </c>
    </row>
    <row r="11" spans="1:14" ht="24.75" customHeight="1" thickBot="1" x14ac:dyDescent="0.3">
      <c r="C11" s="36"/>
      <c r="D11" s="116" t="s">
        <v>130</v>
      </c>
      <c r="E11" s="121">
        <f>K26</f>
        <v>1.4500000000000002</v>
      </c>
    </row>
    <row r="12" spans="1:14" ht="13.5" thickBot="1" x14ac:dyDescent="0.3">
      <c r="A12" s="135" t="s">
        <v>17</v>
      </c>
      <c r="B12" s="105"/>
      <c r="C12" s="17"/>
      <c r="D12" s="17"/>
      <c r="E12"/>
    </row>
    <row r="13" spans="1:14" ht="13" x14ac:dyDescent="0.25">
      <c r="A13" s="261" t="s">
        <v>279</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0.45</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2500-4999</v>
      </c>
      <c r="I18" s="85">
        <f>Forside!E6</f>
        <v>0.05</v>
      </c>
      <c r="J18" s="64">
        <f>IF(H18="","",IF(H18="&lt;250",0,IF(H18="250-999",1,IF(H18="1000-2499",2,IF(H18="2500-4999",3,IF(H18="&gt;=5000",4,""))))))</f>
        <v>3</v>
      </c>
      <c r="K18" s="65">
        <f t="shared" si="0"/>
        <v>0.15000000000000002</v>
      </c>
    </row>
    <row r="19" spans="1:11" ht="15.75" customHeight="1" thickBot="1" x14ac:dyDescent="0.3">
      <c r="A19" s="267" t="s">
        <v>280</v>
      </c>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57</v>
      </c>
      <c r="I20" s="85">
        <f>Forside!E8</f>
        <v>0.05</v>
      </c>
      <c r="J20" s="66">
        <f>IF(H20="","",IF(H19="","",IF(H20&lt;=H19,0,IF(H20&lt;H19*1.05,1,IF(H20&lt;H19*1.1,2,IF(H20&lt;H19*1.15,3,IF(H20&gt;=H19*1.15,4,"")))))))</f>
        <v>3</v>
      </c>
      <c r="K20" s="65">
        <f t="shared" si="0"/>
        <v>0.15000000000000002</v>
      </c>
    </row>
    <row r="21" spans="1:11" ht="16.5" thickBot="1" x14ac:dyDescent="0.3">
      <c r="A21" s="269"/>
      <c r="B21" s="270"/>
      <c r="C21" s="112"/>
      <c r="D21" s="112"/>
      <c r="E21" s="39"/>
      <c r="G21" s="101" t="s">
        <v>122</v>
      </c>
      <c r="H21" s="67" t="s">
        <v>58</v>
      </c>
      <c r="I21" s="85">
        <f>Forside!E9</f>
        <v>0.05</v>
      </c>
      <c r="J21" s="64">
        <f>IF(H21=A106,B106,IF(H21=A107,B107,(IF(H21=A108,B108,(IF(H21=A109,B109,(IF(H21=A110,B110,""))))))))</f>
        <v>1</v>
      </c>
      <c r="K21" s="65">
        <f t="shared" si="0"/>
        <v>0.05</v>
      </c>
    </row>
    <row r="22" spans="1:11" ht="16.5" thickBot="1" x14ac:dyDescent="0.35">
      <c r="A22" s="269"/>
      <c r="B22" s="270"/>
      <c r="C22" s="112"/>
      <c r="D22" s="112"/>
      <c r="E22" s="39"/>
      <c r="G22" s="57" t="s">
        <v>123</v>
      </c>
      <c r="H22" s="68"/>
      <c r="I22" s="59">
        <f>Forside!E10</f>
        <v>0.25</v>
      </c>
      <c r="J22" s="68"/>
      <c r="K22" s="69">
        <f>IF(J23="","",SUM(K23:K25))</f>
        <v>0.4</v>
      </c>
    </row>
    <row r="23" spans="1:11" ht="25.5" thickBot="1" x14ac:dyDescent="0.35">
      <c r="A23" s="271"/>
      <c r="B23" s="272"/>
      <c r="C23" s="112"/>
      <c r="D23" s="112"/>
      <c r="G23" s="70" t="s">
        <v>77</v>
      </c>
      <c r="H23" s="71" t="s">
        <v>50</v>
      </c>
      <c r="I23" s="85">
        <f>Forside!E11</f>
        <v>0.1</v>
      </c>
      <c r="J23" s="72">
        <f>IF(H23=A88,B88,IF(H23=A89,B89,(IF(H23=A90,B90,(IF(H23=A91,B91,(IF(H23=A92,B92,""))))))))</f>
        <v>3</v>
      </c>
      <c r="K23" s="73">
        <f>IF(J23="","",J23*I23)</f>
        <v>0.30000000000000004</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12</v>
      </c>
      <c r="C26" s="155" t="s">
        <v>281</v>
      </c>
      <c r="D26" s="156">
        <v>0</v>
      </c>
      <c r="E26" s="39"/>
      <c r="G26" s="57" t="s">
        <v>130</v>
      </c>
      <c r="H26" s="58"/>
      <c r="I26" s="59">
        <f>Forside!E14</f>
        <v>0.5</v>
      </c>
      <c r="J26" s="58"/>
      <c r="K26" s="60">
        <f>IF(J27="","",SUM(K27:K29))</f>
        <v>1.4500000000000002</v>
      </c>
    </row>
    <row r="27" spans="1:11" ht="16.5" thickBot="1" x14ac:dyDescent="0.35">
      <c r="E27" s="39"/>
      <c r="G27" s="79" t="s">
        <v>141</v>
      </c>
      <c r="H27" s="80" t="s">
        <v>110</v>
      </c>
      <c r="I27" s="85">
        <f>Forside!E15</f>
        <v>0.25</v>
      </c>
      <c r="J27" s="127">
        <f>IF(H27=A113,B113,IF(H27=A114,B114,(IF(H27=A115,B115,(IF(H27=A116,B116,(IF(H27=A117,B117,""))))))))</f>
        <v>2</v>
      </c>
      <c r="K27" s="130">
        <f t="shared" si="0"/>
        <v>0.5</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38" thickBot="1" x14ac:dyDescent="0.3">
      <c r="G29" s="41" t="s">
        <v>136</v>
      </c>
      <c r="H29" s="81" t="s">
        <v>142</v>
      </c>
      <c r="I29" s="85">
        <f>Forside!E17</f>
        <v>0.2</v>
      </c>
      <c r="J29" s="129">
        <f>IF(H29=A120,B120,IF(H29=A121,B121,(IF(H29=A122,B122,(IF(H29=A123,B123,(IF(H29=A124,B124,""))))))))</f>
        <v>4</v>
      </c>
      <c r="K29" s="131">
        <f t="shared" si="0"/>
        <v>0.8</v>
      </c>
    </row>
    <row r="30" spans="1:11" ht="14.5" thickBot="1" x14ac:dyDescent="0.35">
      <c r="G30" s="57" t="s">
        <v>3</v>
      </c>
      <c r="H30" s="82"/>
      <c r="I30" s="83"/>
      <c r="J30" s="84"/>
      <c r="K30" s="132">
        <f>IF(Forside!E18="100%",IF(ISNUMBER(K16*K22*K26),K16+K22+K26,""),"Forkert vægtning")</f>
        <v>2.3000000000000003</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443</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278</v>
      </c>
      <c r="H46" s="141">
        <v>1800</v>
      </c>
      <c r="I46" s="141">
        <f>Enhedspriser!C2</f>
        <v>5000</v>
      </c>
      <c r="J46" s="145">
        <f>H46*I46</f>
        <v>9000000</v>
      </c>
      <c r="L46" s="250" t="s">
        <v>172</v>
      </c>
      <c r="M46" s="251"/>
      <c r="N46" s="252"/>
    </row>
    <row r="47" spans="6:14" ht="12.75" customHeight="1" x14ac:dyDescent="0.3">
      <c r="G47" s="140" t="s">
        <v>92</v>
      </c>
      <c r="H47" s="141">
        <v>25</v>
      </c>
      <c r="I47" s="141">
        <v>50000</v>
      </c>
      <c r="J47" s="145">
        <f>H47*I47</f>
        <v>1250000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307500</v>
      </c>
    </row>
    <row r="55" spans="1:17" ht="27.75" customHeight="1" thickBot="1" x14ac:dyDescent="0.35">
      <c r="G55" s="149" t="s">
        <v>175</v>
      </c>
      <c r="H55" s="150"/>
      <c r="I55" s="150"/>
      <c r="J55" s="146">
        <f>SUM(J46:J54)</f>
        <v>10557500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FDDB98AA-0CF1-43DF-BC76-D4BBF974D72E}">
      <formula1>$A$113:$A$117</formula1>
    </dataValidation>
    <dataValidation type="list" allowBlank="1" showInputMessage="1" showErrorMessage="1" sqref="H25" xr:uid="{51E0CB63-B8D9-40E4-83B9-73E2B85416E9}">
      <formula1>$A$97:$A$102</formula1>
    </dataValidation>
    <dataValidation type="list" allowBlank="1" showInputMessage="1" showErrorMessage="1" sqref="H21" xr:uid="{A2181E59-7CCD-458C-BD37-5CD0888F3205}">
      <formula1>$A$106:$A$110</formula1>
    </dataValidation>
    <dataValidation type="list" allowBlank="1" showInputMessage="1" showErrorMessage="1" sqref="H28" xr:uid="{6D8D5BEE-CB25-43FA-914F-452A60CD4040}">
      <formula1>$A$128:$A$132</formula1>
    </dataValidation>
    <dataValidation type="list" allowBlank="1" showInputMessage="1" showErrorMessage="1" sqref="H24" xr:uid="{642F0B6E-3E6B-46AD-B480-96AC015EF7FB}">
      <formula1>$A$137:$A$141</formula1>
    </dataValidation>
    <dataValidation type="list" allowBlank="1" showInputMessage="1" showErrorMessage="1" sqref="H29" xr:uid="{97DE044F-ACE2-4D55-AFFA-A1B354FA017D}">
      <formula1>$A$120:$A$124</formula1>
    </dataValidation>
    <dataValidation type="list" allowBlank="1" showInputMessage="1" showErrorMessage="1" sqref="H7" xr:uid="{0F2AFDDB-9682-49F2-807B-6AB1DE2E81EA}">
      <formula1>$A$69:$A$78</formula1>
    </dataValidation>
    <dataValidation type="list" allowBlank="1" showInputMessage="1" showErrorMessage="1" sqref="H23" xr:uid="{EED54C62-AD44-4CE6-8359-40F186F2F9D2}">
      <formula1>$A$88:$A$92</formula1>
    </dataValidation>
    <dataValidation type="list" allowBlank="1" showInputMessage="1" showErrorMessage="1" sqref="H5" xr:uid="{5793013E-AE79-4740-86E1-4B11F1401C10}">
      <formula1>$A$81:$A$85</formula1>
    </dataValidation>
  </dataValidations>
  <hyperlinks>
    <hyperlink ref="C5" r:id="rId1" xr:uid="{9FB8E8DB-D2E6-4486-AF4E-506D3B76A25E}"/>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71829-1523-41E7-BCCB-FF68F9B9E34E}">
  <sheetPr codeName="Sheet79"/>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22</v>
      </c>
      <c r="C4" s="151"/>
      <c r="D4" s="38" t="s">
        <v>2</v>
      </c>
      <c r="E4" s="115">
        <f>IF(K30&gt;0,K30,"")</f>
        <v>1.0000000000000002</v>
      </c>
      <c r="G4" s="133" t="s">
        <v>173</v>
      </c>
      <c r="H4" s="124"/>
      <c r="L4" s="139" t="s">
        <v>5</v>
      </c>
      <c r="M4" s="284" t="s">
        <v>466</v>
      </c>
      <c r="N4" s="260"/>
    </row>
    <row r="5" spans="1:14" ht="25" x14ac:dyDescent="0.25">
      <c r="A5" s="37" t="s">
        <v>96</v>
      </c>
      <c r="B5" s="18" t="s">
        <v>282</v>
      </c>
      <c r="C5" s="164" t="s">
        <v>283</v>
      </c>
      <c r="D5" s="38" t="s">
        <v>84</v>
      </c>
      <c r="E5" s="115">
        <f>IF(B9&gt;0,E4/B9,"")</f>
        <v>0.25889967637540462</v>
      </c>
      <c r="G5" s="122" t="s">
        <v>98</v>
      </c>
      <c r="H5" s="123" t="s">
        <v>68</v>
      </c>
      <c r="I5" s="1" t="s">
        <v>285</v>
      </c>
    </row>
    <row r="6" spans="1:14" ht="13" thickBot="1" x14ac:dyDescent="0.3">
      <c r="A6" s="38" t="s">
        <v>97</v>
      </c>
      <c r="B6" s="19" t="s">
        <v>284</v>
      </c>
      <c r="C6" s="151"/>
      <c r="D6" s="116" t="s">
        <v>85</v>
      </c>
      <c r="E6" s="117">
        <f>IF(E4="","",IF(E4&gt;=Forside!$H$7,4,IF(E4&gt;=Forside!$H$8,3,IF(E4&gt;=Forside!$H$9,2,IF(E4&gt;0,1,"")))))</f>
        <v>2</v>
      </c>
      <c r="G6" s="38" t="s">
        <v>99</v>
      </c>
      <c r="H6" s="40">
        <v>25</v>
      </c>
    </row>
    <row r="7" spans="1:14" ht="13" thickBot="1" x14ac:dyDescent="0.3">
      <c r="A7" s="38" t="s">
        <v>77</v>
      </c>
      <c r="B7" s="19" t="s">
        <v>192</v>
      </c>
      <c r="C7" s="151"/>
      <c r="D7" s="27"/>
      <c r="E7" s="28"/>
      <c r="G7" s="17" t="s">
        <v>66</v>
      </c>
      <c r="H7" s="42">
        <v>50</v>
      </c>
    </row>
    <row r="8" spans="1:14" ht="13" x14ac:dyDescent="0.3">
      <c r="A8" s="38" t="s">
        <v>91</v>
      </c>
      <c r="B8" s="14">
        <v>1</v>
      </c>
      <c r="C8" s="2"/>
      <c r="D8" s="118" t="s">
        <v>87</v>
      </c>
      <c r="E8" s="114"/>
      <c r="G8" s="38" t="s">
        <v>100</v>
      </c>
      <c r="H8" s="14">
        <v>50</v>
      </c>
    </row>
    <row r="9" spans="1:14" ht="13" thickBot="1" x14ac:dyDescent="0.3">
      <c r="A9" s="125" t="s">
        <v>6</v>
      </c>
      <c r="B9" s="20">
        <f>J55/1000000</f>
        <v>3.8624999999999998</v>
      </c>
      <c r="C9" s="2"/>
      <c r="D9" s="38" t="s">
        <v>112</v>
      </c>
      <c r="E9" s="119">
        <f>K16</f>
        <v>0.35000000000000003</v>
      </c>
      <c r="G9" s="38" t="s">
        <v>101</v>
      </c>
      <c r="H9" s="14">
        <v>57</v>
      </c>
      <c r="I9" s="1" t="s">
        <v>182</v>
      </c>
    </row>
    <row r="10" spans="1:14" x14ac:dyDescent="0.25">
      <c r="C10" s="36"/>
      <c r="D10" s="38" t="s">
        <v>123</v>
      </c>
      <c r="E10" s="120">
        <f>K22</f>
        <v>0.30000000000000004</v>
      </c>
      <c r="G10" s="38" t="s">
        <v>102</v>
      </c>
      <c r="H10" s="14">
        <v>0</v>
      </c>
    </row>
    <row r="11" spans="1:14" ht="24.75" customHeight="1" thickBot="1" x14ac:dyDescent="0.3">
      <c r="C11" s="36"/>
      <c r="D11" s="116" t="s">
        <v>130</v>
      </c>
      <c r="E11" s="121">
        <f>K26</f>
        <v>0.35000000000000003</v>
      </c>
    </row>
    <row r="12" spans="1:14" ht="13.5" thickBot="1" x14ac:dyDescent="0.3">
      <c r="A12" s="135" t="s">
        <v>17</v>
      </c>
      <c r="B12" s="105"/>
      <c r="C12" s="17"/>
      <c r="D12" s="17"/>
      <c r="E12"/>
    </row>
    <row r="13" spans="1:14" ht="13" x14ac:dyDescent="0.25">
      <c r="A13" s="261" t="s">
        <v>286</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0.35000000000000003</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&lt;250</v>
      </c>
      <c r="I18" s="85">
        <f>Forside!E6</f>
        <v>0.05</v>
      </c>
      <c r="J18" s="64">
        <f>IF(H18="","",IF(H18="&lt;250",0,IF(H18="250-999",1,IF(H18="1000-2499",2,IF(H18="2500-4999",3,IF(H18="&gt;=5000",4,""))))))</f>
        <v>0</v>
      </c>
      <c r="K18" s="65">
        <f t="shared" si="0"/>
        <v>0</v>
      </c>
    </row>
    <row r="19" spans="1:11" ht="15.75" customHeight="1" thickBot="1" x14ac:dyDescent="0.3">
      <c r="A19" s="267" t="s">
        <v>287</v>
      </c>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57</v>
      </c>
      <c r="I20" s="85">
        <f>Forside!E8</f>
        <v>0.05</v>
      </c>
      <c r="J20" s="66">
        <f>IF(H20="","",IF(H19="","",IF(H20&lt;=H19,0,IF(H20&lt;H19*1.05,1,IF(H20&lt;H19*1.1,2,IF(H20&lt;H19*1.15,3,IF(H20&gt;=H19*1.15,4,"")))))))</f>
        <v>3</v>
      </c>
      <c r="K20" s="65">
        <f t="shared" si="0"/>
        <v>0.15000000000000002</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0</v>
      </c>
      <c r="D26" s="156">
        <v>0</v>
      </c>
      <c r="E26" s="39"/>
      <c r="G26" s="57" t="s">
        <v>130</v>
      </c>
      <c r="H26" s="58"/>
      <c r="I26" s="59">
        <f>Forside!E14</f>
        <v>0.5</v>
      </c>
      <c r="J26" s="58"/>
      <c r="K26" s="60">
        <f>IF(J27="","",SUM(K27:K29))</f>
        <v>0.35000000000000003</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1.0000000000000002</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442</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1000</v>
      </c>
      <c r="I46" s="141">
        <f>Enhedspriser!C3</f>
        <v>3750</v>
      </c>
      <c r="J46" s="145">
        <f>H46*I46</f>
        <v>3750000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112500</v>
      </c>
    </row>
    <row r="55" spans="1:17" ht="27.75" customHeight="1" thickBot="1" x14ac:dyDescent="0.35">
      <c r="G55" s="149" t="s">
        <v>175</v>
      </c>
      <c r="H55" s="150"/>
      <c r="I55" s="150"/>
      <c r="J55" s="146">
        <f>SUM(J46:J54)</f>
        <v>3862500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D1149FE0-D390-4F6D-AF17-40858F7E91FC}">
      <formula1>$A$113:$A$117</formula1>
    </dataValidation>
    <dataValidation type="list" allowBlank="1" showInputMessage="1" showErrorMessage="1" sqref="H25" xr:uid="{9E724987-A179-4D4A-817D-491ECF7DA24A}">
      <formula1>$A$97:$A$102</formula1>
    </dataValidation>
    <dataValidation type="list" allowBlank="1" showInputMessage="1" showErrorMessage="1" sqref="H21" xr:uid="{5532133C-D4BA-4E66-B18A-77AEA84958E7}">
      <formula1>$A$106:$A$110</formula1>
    </dataValidation>
    <dataValidation type="list" allowBlank="1" showInputMessage="1" showErrorMessage="1" sqref="H28" xr:uid="{4553122E-18E5-4B36-A569-A528517229A3}">
      <formula1>$A$128:$A$132</formula1>
    </dataValidation>
    <dataValidation type="list" allowBlank="1" showInputMessage="1" showErrorMessage="1" sqref="H24" xr:uid="{4CCB6CD5-E172-4A23-A74A-BD9C8917F36E}">
      <formula1>$A$137:$A$141</formula1>
    </dataValidation>
    <dataValidation type="list" allowBlank="1" showInputMessage="1" showErrorMessage="1" sqref="H29" xr:uid="{E0F35213-F403-4FCB-BA2C-884A1F112AB5}">
      <formula1>$A$120:$A$124</formula1>
    </dataValidation>
    <dataValidation type="list" allowBlank="1" showInputMessage="1" showErrorMessage="1" sqref="H7" xr:uid="{983BB059-5DBE-4758-B111-47A0E1685E82}">
      <formula1>$A$69:$A$78</formula1>
    </dataValidation>
    <dataValidation type="list" allowBlank="1" showInputMessage="1" showErrorMessage="1" sqref="H23" xr:uid="{D36A3DE6-7213-42BE-A78D-7AB2126C3E81}">
      <formula1>$A$88:$A$92</formula1>
    </dataValidation>
    <dataValidation type="list" allowBlank="1" showInputMessage="1" showErrorMessage="1" sqref="H5" xr:uid="{929F6B2C-0629-4B1D-BF16-D34CDC5EE366}">
      <formula1>$A$81:$A$85</formula1>
    </dataValidation>
  </dataValidations>
  <hyperlinks>
    <hyperlink ref="C5" r:id="rId1" xr:uid="{D451EB8D-79B8-4570-AE99-19631D4BA2BB}"/>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6B249-2985-4638-8510-9875773F9CED}">
  <sheetPr codeName="Sheet80"/>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23</v>
      </c>
      <c r="C4" s="151"/>
      <c r="D4" s="38" t="s">
        <v>2</v>
      </c>
      <c r="E4" s="115">
        <f>IF(K30&gt;0,K30,"")</f>
        <v>1.25</v>
      </c>
      <c r="G4" s="133" t="s">
        <v>173</v>
      </c>
      <c r="H4" s="124"/>
      <c r="L4" s="139" t="s">
        <v>5</v>
      </c>
      <c r="M4" s="284" t="s">
        <v>466</v>
      </c>
      <c r="N4" s="260"/>
    </row>
    <row r="5" spans="1:14" ht="25" x14ac:dyDescent="0.25">
      <c r="A5" s="37" t="s">
        <v>96</v>
      </c>
      <c r="B5" s="18" t="s">
        <v>288</v>
      </c>
      <c r="C5" s="164" t="s">
        <v>289</v>
      </c>
      <c r="D5" s="38" t="s">
        <v>84</v>
      </c>
      <c r="E5" s="115">
        <f>IF(B9&gt;0,E4/B9,"")</f>
        <v>9.6700576335434954E-2</v>
      </c>
      <c r="G5" s="122" t="s">
        <v>98</v>
      </c>
      <c r="H5" s="123" t="s">
        <v>148</v>
      </c>
    </row>
    <row r="6" spans="1:14" ht="13" thickBot="1" x14ac:dyDescent="0.3">
      <c r="A6" s="38" t="s">
        <v>97</v>
      </c>
      <c r="B6" s="19" t="s">
        <v>290</v>
      </c>
      <c r="C6" s="151"/>
      <c r="D6" s="116" t="s">
        <v>85</v>
      </c>
      <c r="E6" s="117">
        <f>IF(E4="","",IF(E4&gt;=Forside!$H$7,4,IF(E4&gt;=Forside!$H$8,3,IF(E4&gt;=Forside!$H$9,2,IF(E4&gt;0,1,"")))))</f>
        <v>2</v>
      </c>
      <c r="G6" s="38" t="s">
        <v>99</v>
      </c>
      <c r="H6" s="40">
        <v>10</v>
      </c>
    </row>
    <row r="7" spans="1:14" ht="13" thickBot="1" x14ac:dyDescent="0.3">
      <c r="A7" s="38" t="s">
        <v>77</v>
      </c>
      <c r="B7" s="19" t="s">
        <v>192</v>
      </c>
      <c r="C7" s="151"/>
      <c r="D7" s="27"/>
      <c r="E7" s="28"/>
      <c r="G7" s="17" t="s">
        <v>66</v>
      </c>
      <c r="H7" s="42">
        <v>80</v>
      </c>
    </row>
    <row r="8" spans="1:14" ht="13" x14ac:dyDescent="0.3">
      <c r="A8" s="38" t="s">
        <v>91</v>
      </c>
      <c r="B8" s="14">
        <v>3.1</v>
      </c>
      <c r="C8" s="2"/>
      <c r="D8" s="118" t="s">
        <v>87</v>
      </c>
      <c r="E8" s="114"/>
      <c r="G8" s="38" t="s">
        <v>100</v>
      </c>
      <c r="H8" s="14">
        <v>55</v>
      </c>
    </row>
    <row r="9" spans="1:14" ht="13" thickBot="1" x14ac:dyDescent="0.3">
      <c r="A9" s="125" t="s">
        <v>6</v>
      </c>
      <c r="B9" s="20">
        <f>J55/1000000</f>
        <v>12.926500000000001</v>
      </c>
      <c r="C9" s="2"/>
      <c r="D9" s="38" t="s">
        <v>112</v>
      </c>
      <c r="E9" s="119">
        <f>K16</f>
        <v>0.4</v>
      </c>
      <c r="G9" s="38" t="s">
        <v>101</v>
      </c>
      <c r="H9" s="14">
        <v>64</v>
      </c>
    </row>
    <row r="10" spans="1:14" x14ac:dyDescent="0.25">
      <c r="C10" s="36"/>
      <c r="D10" s="38" t="s">
        <v>123</v>
      </c>
      <c r="E10" s="120">
        <f>K22</f>
        <v>0.30000000000000004</v>
      </c>
      <c r="G10" s="38" t="s">
        <v>102</v>
      </c>
      <c r="H10" s="14">
        <v>0</v>
      </c>
    </row>
    <row r="11" spans="1:14" ht="24.75" customHeight="1" thickBot="1" x14ac:dyDescent="0.3">
      <c r="C11" s="36"/>
      <c r="D11" s="116" t="s">
        <v>130</v>
      </c>
      <c r="E11" s="121">
        <f>K26</f>
        <v>0.55000000000000004</v>
      </c>
    </row>
    <row r="12" spans="1:14" ht="13.5" thickBot="1" x14ac:dyDescent="0.3">
      <c r="A12" s="135" t="s">
        <v>17</v>
      </c>
      <c r="B12" s="105"/>
      <c r="C12" s="17"/>
      <c r="D12" s="17"/>
      <c r="E12"/>
    </row>
    <row r="13" spans="1:14" ht="13" x14ac:dyDescent="0.25">
      <c r="A13" s="261" t="s">
        <v>291</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292</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64</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0</v>
      </c>
      <c r="D26" s="156">
        <v>0</v>
      </c>
      <c r="E26" s="39"/>
      <c r="G26" s="57" t="s">
        <v>130</v>
      </c>
      <c r="H26" s="58"/>
      <c r="I26" s="59">
        <f>Forside!E14</f>
        <v>0.5</v>
      </c>
      <c r="J26" s="58"/>
      <c r="K26" s="60">
        <f>IF(J27="","",SUM(K27:K29))</f>
        <v>0.55000000000000004</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155</v>
      </c>
      <c r="I29" s="85">
        <f>Forside!E17</f>
        <v>0.2</v>
      </c>
      <c r="J29" s="129">
        <f>IF(H29=A120,B120,IF(H29=A121,B121,(IF(H29=A122,B122,(IF(H29=A123,B123,(IF(H29=A124,B124,""))))))))</f>
        <v>2</v>
      </c>
      <c r="K29" s="131">
        <f t="shared" si="0"/>
        <v>0.4</v>
      </c>
    </row>
    <row r="30" spans="1:11" ht="14.5" thickBot="1" x14ac:dyDescent="0.35">
      <c r="G30" s="57" t="s">
        <v>3</v>
      </c>
      <c r="H30" s="82"/>
      <c r="I30" s="83"/>
      <c r="J30" s="84"/>
      <c r="K30" s="132">
        <f>IF(Forside!E18="100%",IF(ISNUMBER(K16*K22*K26),K16+K22+K26,""),"Forkert vægtning")</f>
        <v>1.25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442</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2600</v>
      </c>
      <c r="I46" s="141">
        <f>Enhedspriser!C3</f>
        <v>3750</v>
      </c>
      <c r="J46" s="145">
        <f>H46*I46</f>
        <v>9750000</v>
      </c>
      <c r="L46" s="250" t="s">
        <v>172</v>
      </c>
      <c r="M46" s="251"/>
      <c r="N46" s="252"/>
    </row>
    <row r="47" spans="6:14" ht="12.75" customHeight="1" x14ac:dyDescent="0.3">
      <c r="G47" s="140" t="s">
        <v>55</v>
      </c>
      <c r="H47" s="141">
        <v>1</v>
      </c>
      <c r="I47" s="141">
        <f>Enhedspriser!C7</f>
        <v>300000</v>
      </c>
      <c r="J47" s="145">
        <f>H47*I47</f>
        <v>300000</v>
      </c>
      <c r="L47" s="250"/>
      <c r="M47" s="251"/>
      <c r="N47" s="252"/>
    </row>
    <row r="48" spans="6:14" ht="13" x14ac:dyDescent="0.3">
      <c r="G48" s="140" t="s">
        <v>202</v>
      </c>
      <c r="H48" s="141">
        <v>500</v>
      </c>
      <c r="I48" s="141">
        <f>Enhedspriser!C2</f>
        <v>5000</v>
      </c>
      <c r="J48" s="145">
        <f t="shared" ref="J48:J53" si="1">H48*I48</f>
        <v>2500000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376500</v>
      </c>
    </row>
    <row r="55" spans="1:17" ht="27.75" customHeight="1" thickBot="1" x14ac:dyDescent="0.35">
      <c r="G55" s="149" t="s">
        <v>175</v>
      </c>
      <c r="H55" s="150"/>
      <c r="I55" s="150"/>
      <c r="J55" s="146">
        <f>SUM(J46:J54)</f>
        <v>12926500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A3F14199-EFFB-419F-8C1C-C82DA6214331}">
      <formula1>$A$113:$A$117</formula1>
    </dataValidation>
    <dataValidation type="list" allowBlank="1" showInputMessage="1" showErrorMessage="1" sqref="H25" xr:uid="{5F4C045D-AE72-42AA-BE4B-2033DEE9F410}">
      <formula1>$A$97:$A$102</formula1>
    </dataValidation>
    <dataValidation type="list" allowBlank="1" showInputMessage="1" showErrorMessage="1" sqref="H21" xr:uid="{0E27A9AD-F25B-4299-8698-3EB61241DA21}">
      <formula1>$A$106:$A$110</formula1>
    </dataValidation>
    <dataValidation type="list" allowBlank="1" showInputMessage="1" showErrorMessage="1" sqref="H28" xr:uid="{29597BCC-D2AD-4BBB-A5F2-938B5AC4FAE8}">
      <formula1>$A$128:$A$132</formula1>
    </dataValidation>
    <dataValidation type="list" allowBlank="1" showInputMessage="1" showErrorMessage="1" sqref="H24" xr:uid="{0368B979-99B2-4C84-8E47-5E9AB09AF370}">
      <formula1>$A$137:$A$141</formula1>
    </dataValidation>
    <dataValidation type="list" allowBlank="1" showInputMessage="1" showErrorMessage="1" sqref="H29" xr:uid="{04C2E853-DDC9-4D19-AC79-38C8A8FE7752}">
      <formula1>$A$120:$A$124</formula1>
    </dataValidation>
    <dataValidation type="list" allowBlank="1" showInputMessage="1" showErrorMessage="1" sqref="H7" xr:uid="{B1F3C4C9-577E-429D-85C2-55F977BC2A61}">
      <formula1>$A$69:$A$78</formula1>
    </dataValidation>
    <dataValidation type="list" allowBlank="1" showInputMessage="1" showErrorMessage="1" sqref="H23" xr:uid="{60A051ED-F40B-4A93-900B-200A419BBB14}">
      <formula1>$A$88:$A$92</formula1>
    </dataValidation>
    <dataValidation type="list" allowBlank="1" showInputMessage="1" showErrorMessage="1" sqref="H5" xr:uid="{629B7274-02BE-4ED3-ACD8-38EC8B6BE0DA}">
      <formula1>$A$81:$A$85</formula1>
    </dataValidation>
  </dataValidations>
  <hyperlinks>
    <hyperlink ref="C5" r:id="rId1" xr:uid="{AD39A187-CC0E-47D6-A492-2DDAE903BF4F}"/>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5427FA-BE4F-42BB-9E6E-E5F273347914}">
  <sheetPr codeName="Sheet81"/>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24</v>
      </c>
      <c r="C4" s="151"/>
      <c r="D4" s="38" t="s">
        <v>2</v>
      </c>
      <c r="E4" s="115">
        <f>IF(K30&gt;0,K30,"")</f>
        <v>1.2000000000000002</v>
      </c>
      <c r="G4" s="133" t="s">
        <v>173</v>
      </c>
      <c r="H4" s="124"/>
      <c r="L4" s="139" t="s">
        <v>5</v>
      </c>
      <c r="M4" s="284" t="s">
        <v>466</v>
      </c>
      <c r="N4" s="260"/>
    </row>
    <row r="5" spans="1:14" x14ac:dyDescent="0.25">
      <c r="A5" s="37" t="s">
        <v>96</v>
      </c>
      <c r="B5" s="18" t="s">
        <v>293</v>
      </c>
      <c r="C5" s="152"/>
      <c r="D5" s="38" t="s">
        <v>84</v>
      </c>
      <c r="E5" s="115">
        <f>IF(B9&gt;0,E4/B9,"")</f>
        <v>9.7290066278857654E-2</v>
      </c>
      <c r="G5" s="122" t="s">
        <v>98</v>
      </c>
      <c r="H5" s="123" t="s">
        <v>139</v>
      </c>
      <c r="I5" s="1" t="s">
        <v>224</v>
      </c>
    </row>
    <row r="6" spans="1:14" ht="25.5" thickBot="1" x14ac:dyDescent="0.3">
      <c r="A6" s="38" t="s">
        <v>97</v>
      </c>
      <c r="B6" s="19" t="s">
        <v>294</v>
      </c>
      <c r="C6" s="161" t="s">
        <v>444</v>
      </c>
      <c r="D6" s="116" t="s">
        <v>85</v>
      </c>
      <c r="E6" s="117">
        <f>IF(E4="","",IF(E4&gt;=Forside!$H$7,4,IF(E4&gt;=Forside!$H$8,3,IF(E4&gt;=Forside!$H$9,2,IF(E4&gt;0,1,"")))))</f>
        <v>2</v>
      </c>
      <c r="G6" s="38" t="s">
        <v>99</v>
      </c>
      <c r="H6" s="40">
        <v>10</v>
      </c>
    </row>
    <row r="7" spans="1:14" ht="13" thickBot="1" x14ac:dyDescent="0.3">
      <c r="A7" s="38" t="s">
        <v>77</v>
      </c>
      <c r="B7" s="19" t="s">
        <v>192</v>
      </c>
      <c r="C7" s="151"/>
      <c r="D7" s="27"/>
      <c r="E7" s="28"/>
      <c r="G7" s="17" t="s">
        <v>66</v>
      </c>
      <c r="H7" s="42">
        <v>80</v>
      </c>
    </row>
    <row r="8" spans="1:14" ht="13" x14ac:dyDescent="0.3">
      <c r="A8" s="38" t="s">
        <v>91</v>
      </c>
      <c r="B8" s="14">
        <v>3.1</v>
      </c>
      <c r="C8" s="2"/>
      <c r="D8" s="118" t="s">
        <v>87</v>
      </c>
      <c r="E8" s="114"/>
      <c r="G8" s="38" t="s">
        <v>100</v>
      </c>
      <c r="H8" s="14">
        <v>75</v>
      </c>
    </row>
    <row r="9" spans="1:14" ht="13" thickBot="1" x14ac:dyDescent="0.3">
      <c r="A9" s="125" t="s">
        <v>6</v>
      </c>
      <c r="B9" s="20">
        <f>J55/1000000</f>
        <v>12.334250000000001</v>
      </c>
      <c r="C9" s="2"/>
      <c r="D9" s="38" t="s">
        <v>112</v>
      </c>
      <c r="E9" s="119">
        <f>K16</f>
        <v>0.75</v>
      </c>
      <c r="G9" s="38" t="s">
        <v>101</v>
      </c>
      <c r="H9" s="14">
        <v>85</v>
      </c>
      <c r="I9" s="1" t="s">
        <v>224</v>
      </c>
    </row>
    <row r="10" spans="1:14" x14ac:dyDescent="0.25">
      <c r="C10" s="36"/>
      <c r="D10" s="38" t="s">
        <v>123</v>
      </c>
      <c r="E10" s="120">
        <f>K22</f>
        <v>0.30000000000000004</v>
      </c>
      <c r="G10" s="38" t="s">
        <v>102</v>
      </c>
      <c r="H10" s="14">
        <v>3</v>
      </c>
    </row>
    <row r="11" spans="1:14" ht="24.75" customHeight="1" thickBot="1" x14ac:dyDescent="0.3">
      <c r="C11" s="36"/>
      <c r="D11" s="116" t="s">
        <v>130</v>
      </c>
      <c r="E11" s="121">
        <f>K26</f>
        <v>0.15000000000000002</v>
      </c>
    </row>
    <row r="12" spans="1:14" ht="13.5" thickBot="1" x14ac:dyDescent="0.3">
      <c r="A12" s="135" t="s">
        <v>17</v>
      </c>
      <c r="B12" s="105"/>
      <c r="C12" s="17"/>
      <c r="D12" s="17"/>
      <c r="E12"/>
    </row>
    <row r="13" spans="1:14" ht="13" x14ac:dyDescent="0.25">
      <c r="A13" s="261" t="s">
        <v>295</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0.75</v>
      </c>
    </row>
    <row r="17" spans="1:11" ht="25.5" thickBot="1" x14ac:dyDescent="0.3">
      <c r="A17" s="5"/>
      <c r="B17" s="5"/>
      <c r="C17" s="5"/>
      <c r="D17" s="5"/>
      <c r="G17" s="61" t="s">
        <v>137</v>
      </c>
      <c r="H17" s="102">
        <f>IF(H10="","",H10)</f>
        <v>3</v>
      </c>
      <c r="I17" s="85">
        <f>Forside!E5</f>
        <v>0.05</v>
      </c>
      <c r="J17" s="62">
        <f>IF(H17="","",IF(H17=0,0,IF(H17&lt;3,1,IF(H17&lt;6,2,IF(H17&lt;10,3,IF(H17&gt;=10,4,""))))))</f>
        <v>2</v>
      </c>
      <c r="K17" s="63">
        <f t="shared" ref="K17:K29" si="0">IF(J17="","",J17*I17)</f>
        <v>0.1</v>
      </c>
    </row>
    <row r="18" spans="1:11" ht="12.75" customHeight="1" thickBot="1" x14ac:dyDescent="0.3">
      <c r="A18" s="136" t="s">
        <v>90</v>
      </c>
      <c r="B18" s="52"/>
      <c r="C18" s="109"/>
      <c r="D18" s="109"/>
      <c r="G18" s="41" t="s">
        <v>138</v>
      </c>
      <c r="H18" s="103" t="str">
        <f>IF(H5="","",H5)</f>
        <v>2500-4999</v>
      </c>
      <c r="I18" s="85">
        <f>Forside!E6</f>
        <v>0.05</v>
      </c>
      <c r="J18" s="64">
        <f>IF(H18="","",IF(H18="&lt;250",0,IF(H18="250-999",1,IF(H18="1000-2499",2,IF(H18="2500-4999",3,IF(H18="&gt;=5000",4,""))))))</f>
        <v>3</v>
      </c>
      <c r="K18" s="65">
        <f t="shared" si="0"/>
        <v>0.15000000000000002</v>
      </c>
    </row>
    <row r="19" spans="1:11" ht="15.75" customHeight="1" thickBot="1" x14ac:dyDescent="0.3">
      <c r="A19" s="267"/>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85</v>
      </c>
      <c r="I20" s="85">
        <f>Forside!E8</f>
        <v>0.05</v>
      </c>
      <c r="J20" s="66">
        <f>IF(H20="","",IF(H19="","",IF(H20&lt;=H19,0,IF(H20&lt;H19*1.05,1,IF(H20&lt;H19*1.1,2,IF(H20&lt;H19*1.15,3,IF(H20&gt;=H19*1.15,4,"")))))))</f>
        <v>2</v>
      </c>
      <c r="K20" s="65">
        <f t="shared" si="0"/>
        <v>0.1</v>
      </c>
    </row>
    <row r="21" spans="1:11" ht="16.5" thickBot="1" x14ac:dyDescent="0.3">
      <c r="A21" s="269"/>
      <c r="B21" s="270"/>
      <c r="C21" s="112"/>
      <c r="D21" s="112"/>
      <c r="E21" s="39"/>
      <c r="G21" s="101" t="s">
        <v>122</v>
      </c>
      <c r="H21" s="67" t="s">
        <v>152</v>
      </c>
      <c r="I21" s="85">
        <f>Forside!E9</f>
        <v>0.05</v>
      </c>
      <c r="J21" s="64">
        <f>IF(H21=A106,B106,IF(H21=A107,B107,(IF(H21=A108,B108,(IF(H21=A109,B109,(IF(H21=A110,B110,""))))))))</f>
        <v>4</v>
      </c>
      <c r="K21" s="65">
        <f t="shared" si="0"/>
        <v>0.2</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296</v>
      </c>
      <c r="B26" s="155" t="s">
        <v>184</v>
      </c>
      <c r="C26" s="155" t="s">
        <v>12</v>
      </c>
      <c r="D26" s="156" t="s">
        <v>12</v>
      </c>
      <c r="E26" s="39"/>
      <c r="G26" s="57" t="s">
        <v>130</v>
      </c>
      <c r="H26" s="58"/>
      <c r="I26" s="59">
        <f>Forside!E14</f>
        <v>0.5</v>
      </c>
      <c r="J26" s="58"/>
      <c r="K26" s="60">
        <f>IF(J27="","",SUM(K27:K29))</f>
        <v>0.15000000000000002</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1.2000000000000002</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445</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3100</v>
      </c>
      <c r="I46" s="141">
        <f>Enhedspriser!C3</f>
        <v>3750</v>
      </c>
      <c r="J46" s="145">
        <f>H46*I46</f>
        <v>11625000</v>
      </c>
      <c r="L46" s="250" t="s">
        <v>172</v>
      </c>
      <c r="M46" s="251"/>
      <c r="N46" s="252"/>
    </row>
    <row r="47" spans="6:14" ht="12.75" customHeight="1" x14ac:dyDescent="0.3">
      <c r="G47" s="140" t="s">
        <v>297</v>
      </c>
      <c r="H47" s="141">
        <v>1</v>
      </c>
      <c r="I47" s="141">
        <v>350000</v>
      </c>
      <c r="J47" s="145">
        <f>H47*I47</f>
        <v>350000</v>
      </c>
      <c r="K47" s="5" t="s">
        <v>224</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359250</v>
      </c>
    </row>
    <row r="55" spans="1:17" ht="27.75" customHeight="1" thickBot="1" x14ac:dyDescent="0.35">
      <c r="G55" s="149" t="s">
        <v>175</v>
      </c>
      <c r="H55" s="150"/>
      <c r="I55" s="150"/>
      <c r="J55" s="146">
        <f>SUM(J46:J54)</f>
        <v>12334250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84E51F22-5CD9-408E-974F-DC6F75DC5948}">
      <formula1>$A$113:$A$117</formula1>
    </dataValidation>
    <dataValidation type="list" allowBlank="1" showInputMessage="1" showErrorMessage="1" sqref="H25" xr:uid="{A8D0BE56-58E6-4B84-B9B8-45BAF2B7D74F}">
      <formula1>$A$97:$A$102</formula1>
    </dataValidation>
    <dataValidation type="list" allowBlank="1" showInputMessage="1" showErrorMessage="1" sqref="H21" xr:uid="{2B01FA89-9257-4984-9FEB-8A37A658863E}">
      <formula1>$A$106:$A$110</formula1>
    </dataValidation>
    <dataValidation type="list" allowBlank="1" showInputMessage="1" showErrorMessage="1" sqref="H28" xr:uid="{FEFE0532-4A97-454D-94C3-53D0931A48A5}">
      <formula1>$A$128:$A$132</formula1>
    </dataValidation>
    <dataValidation type="list" allowBlank="1" showInputMessage="1" showErrorMessage="1" sqref="H24" xr:uid="{FF2C8E71-47CE-41E7-9559-6C37F0753E85}">
      <formula1>$A$137:$A$141</formula1>
    </dataValidation>
    <dataValidation type="list" allowBlank="1" showInputMessage="1" showErrorMessage="1" sqref="H29" xr:uid="{A64E9CF1-8DE9-4564-8DD7-081CBFDE9591}">
      <formula1>$A$120:$A$124</formula1>
    </dataValidation>
    <dataValidation type="list" allowBlank="1" showInputMessage="1" showErrorMessage="1" sqref="H7" xr:uid="{FD157B98-938B-4112-9BB3-E185A6D1CDB7}">
      <formula1>$A$69:$A$78</formula1>
    </dataValidation>
    <dataValidation type="list" allowBlank="1" showInputMessage="1" showErrorMessage="1" sqref="H23" xr:uid="{4FEFD58B-1321-431E-BB6C-41E51F329D24}">
      <formula1>$A$88:$A$92</formula1>
    </dataValidation>
    <dataValidation type="list" allowBlank="1" showInputMessage="1" showErrorMessage="1" sqref="H5" xr:uid="{6509918A-2884-406B-BECC-9D594E226914}">
      <formula1>$A$81:$A$85</formula1>
    </dataValidation>
  </dataValidations>
  <hyperlinks>
    <hyperlink ref="C6" r:id="rId1" xr:uid="{71C44B80-C28E-430D-886A-933CE2211120}"/>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55C8B-86EE-40D8-A3F2-7E2194817C79}">
  <sheetPr codeName="Sheet82"/>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25</v>
      </c>
      <c r="C4" s="151"/>
      <c r="D4" s="38" t="s">
        <v>2</v>
      </c>
      <c r="E4" s="115">
        <f>IF(K30&gt;0,K30,"")</f>
        <v>0.75000000000000011</v>
      </c>
      <c r="G4" s="133" t="s">
        <v>173</v>
      </c>
      <c r="H4" s="124"/>
      <c r="L4" s="139" t="s">
        <v>5</v>
      </c>
      <c r="M4" s="284" t="s">
        <v>466</v>
      </c>
      <c r="N4" s="260"/>
    </row>
    <row r="5" spans="1:14" ht="25" x14ac:dyDescent="0.25">
      <c r="A5" s="37" t="s">
        <v>96</v>
      </c>
      <c r="B5" s="18" t="s">
        <v>298</v>
      </c>
      <c r="C5" s="164" t="s">
        <v>299</v>
      </c>
      <c r="D5" s="38" t="s">
        <v>84</v>
      </c>
      <c r="E5" s="115">
        <f>IF(B9&gt;0,E4/B9,"")</f>
        <v>7.1916576770945706E-2</v>
      </c>
      <c r="G5" s="122" t="s">
        <v>98</v>
      </c>
      <c r="H5" s="123" t="s">
        <v>148</v>
      </c>
    </row>
    <row r="6" spans="1:14" ht="25.5" thickBot="1" x14ac:dyDescent="0.3">
      <c r="A6" s="38" t="s">
        <v>97</v>
      </c>
      <c r="B6" s="19" t="s">
        <v>300</v>
      </c>
      <c r="C6" s="151"/>
      <c r="D6" s="116" t="s">
        <v>85</v>
      </c>
      <c r="E6" s="117">
        <f>IF(E4="","",IF(E4&gt;=Forside!$H$7,4,IF(E4&gt;=Forside!$H$8,3,IF(E4&gt;=Forside!$H$9,2,IF(E4&gt;0,1,"")))))</f>
        <v>2</v>
      </c>
      <c r="G6" s="38" t="s">
        <v>99</v>
      </c>
      <c r="H6" s="40">
        <v>10</v>
      </c>
    </row>
    <row r="7" spans="1:14" ht="13" thickBot="1" x14ac:dyDescent="0.3">
      <c r="A7" s="38" t="s">
        <v>77</v>
      </c>
      <c r="B7" s="19" t="s">
        <v>192</v>
      </c>
      <c r="C7" s="151"/>
      <c r="D7" s="27"/>
      <c r="E7" s="28"/>
      <c r="G7" s="17" t="s">
        <v>66</v>
      </c>
      <c r="H7" s="42">
        <v>80</v>
      </c>
    </row>
    <row r="8" spans="1:14" ht="13" x14ac:dyDescent="0.3">
      <c r="A8" s="38" t="s">
        <v>91</v>
      </c>
      <c r="B8" s="14">
        <v>2.7</v>
      </c>
      <c r="C8" s="2"/>
      <c r="D8" s="118" t="s">
        <v>87</v>
      </c>
      <c r="E8" s="114"/>
      <c r="G8" s="38" t="s">
        <v>100</v>
      </c>
      <c r="H8" s="14">
        <v>56</v>
      </c>
    </row>
    <row r="9" spans="1:14" ht="13" thickBot="1" x14ac:dyDescent="0.3">
      <c r="A9" s="125" t="s">
        <v>6</v>
      </c>
      <c r="B9" s="20">
        <f>J55/1000000</f>
        <v>10.428750000000001</v>
      </c>
      <c r="C9" s="2"/>
      <c r="D9" s="38" t="s">
        <v>112</v>
      </c>
      <c r="E9" s="119">
        <f>K16</f>
        <v>0.4</v>
      </c>
      <c r="G9" s="38" t="s">
        <v>101</v>
      </c>
      <c r="H9" s="14">
        <v>69</v>
      </c>
    </row>
    <row r="10" spans="1:14" x14ac:dyDescent="0.25">
      <c r="C10" s="36"/>
      <c r="D10" s="38" t="s">
        <v>123</v>
      </c>
      <c r="E10" s="120">
        <f>K22</f>
        <v>0.2</v>
      </c>
      <c r="G10" s="38" t="s">
        <v>102</v>
      </c>
      <c r="H10" s="14">
        <v>1</v>
      </c>
    </row>
    <row r="11" spans="1:14" ht="24.75" customHeight="1" thickBot="1" x14ac:dyDescent="0.3">
      <c r="C11" s="36"/>
      <c r="D11" s="116" t="s">
        <v>130</v>
      </c>
      <c r="E11" s="121">
        <f>K26</f>
        <v>0.15000000000000002</v>
      </c>
    </row>
    <row r="12" spans="1:14" ht="13.5" thickBot="1" x14ac:dyDescent="0.3">
      <c r="A12" s="135" t="s">
        <v>17</v>
      </c>
      <c r="B12" s="105"/>
      <c r="C12" s="17"/>
      <c r="D12" s="17"/>
      <c r="E12"/>
    </row>
    <row r="13" spans="1:14" ht="13" x14ac:dyDescent="0.25">
      <c r="A13" s="261" t="s">
        <v>286</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69</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2</v>
      </c>
      <c r="D26" s="156">
        <v>0</v>
      </c>
      <c r="E26" s="39"/>
      <c r="G26" s="57" t="s">
        <v>130</v>
      </c>
      <c r="H26" s="58"/>
      <c r="I26" s="59">
        <f>Forside!E14</f>
        <v>0.5</v>
      </c>
      <c r="J26" s="58"/>
      <c r="K26" s="60">
        <f>IF(J27="","",SUM(K27:K29))</f>
        <v>0.15000000000000002</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0.75000000000000011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441</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2700</v>
      </c>
      <c r="I46" s="141">
        <f>Enhedspriser!C3</f>
        <v>3750</v>
      </c>
      <c r="J46" s="145">
        <f>H46*I46</f>
        <v>10125000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303750</v>
      </c>
    </row>
    <row r="55" spans="1:17" ht="27.75" customHeight="1" thickBot="1" x14ac:dyDescent="0.35">
      <c r="G55" s="149" t="s">
        <v>175</v>
      </c>
      <c r="H55" s="150"/>
      <c r="I55" s="150"/>
      <c r="J55" s="146">
        <f>SUM(J46:J54)</f>
        <v>10428750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0466793B-00F0-43D3-804B-21CB0C0E2ABF}">
      <formula1>$A$113:$A$117</formula1>
    </dataValidation>
    <dataValidation type="list" allowBlank="1" showInputMessage="1" showErrorMessage="1" sqref="H25" xr:uid="{58BF427D-18C7-4E0C-8531-9B0BCDA978BA}">
      <formula1>$A$97:$A$102</formula1>
    </dataValidation>
    <dataValidation type="list" allowBlank="1" showInputMessage="1" showErrorMessage="1" sqref="H21" xr:uid="{5D6F873A-FAAE-4EB7-9394-BEC5DA133521}">
      <formula1>$A$106:$A$110</formula1>
    </dataValidation>
    <dataValidation type="list" allowBlank="1" showInputMessage="1" showErrorMessage="1" sqref="H28" xr:uid="{B70D634A-C4A1-41F7-9131-F80A3C132B69}">
      <formula1>$A$128:$A$132</formula1>
    </dataValidation>
    <dataValidation type="list" allowBlank="1" showInputMessage="1" showErrorMessage="1" sqref="H24" xr:uid="{E17816D6-BE1C-4960-8A1C-CB51C8380C59}">
      <formula1>$A$137:$A$141</formula1>
    </dataValidation>
    <dataValidation type="list" allowBlank="1" showInputMessage="1" showErrorMessage="1" sqref="H29" xr:uid="{6465BE55-58E7-4512-AF1F-38E4C56B2ABE}">
      <formula1>$A$120:$A$124</formula1>
    </dataValidation>
    <dataValidation type="list" allowBlank="1" showInputMessage="1" showErrorMessage="1" sqref="H7" xr:uid="{B1763351-01C8-4CE1-B9BD-D76A5D21D692}">
      <formula1>$A$69:$A$78</formula1>
    </dataValidation>
    <dataValidation type="list" allowBlank="1" showInputMessage="1" showErrorMessage="1" sqref="H23" xr:uid="{66AE4DEE-D9B1-4972-A0F8-F1E6461FE381}">
      <formula1>$A$88:$A$92</formula1>
    </dataValidation>
    <dataValidation type="list" allowBlank="1" showInputMessage="1" showErrorMessage="1" sqref="H5" xr:uid="{B727486E-04FA-419C-803B-B5A562193E94}">
      <formula1>$A$81:$A$85</formula1>
    </dataValidation>
  </dataValidations>
  <hyperlinks>
    <hyperlink ref="C5" r:id="rId1" xr:uid="{FF06C4A1-8FAA-4B33-84DF-21C9CEE8C767}"/>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99D34-532A-4A14-8E85-2DA7FDDE1DB9}">
  <sheetPr codeName="Sheet83"/>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26</v>
      </c>
      <c r="C4" s="151"/>
      <c r="D4" s="38" t="s">
        <v>2</v>
      </c>
      <c r="E4" s="115">
        <f>IF(K30&gt;0,K30,"")</f>
        <v>1</v>
      </c>
      <c r="G4" s="133" t="s">
        <v>173</v>
      </c>
      <c r="H4" s="124"/>
      <c r="L4" s="139" t="s">
        <v>5</v>
      </c>
      <c r="M4" s="284" t="s">
        <v>466</v>
      </c>
      <c r="N4" s="260"/>
    </row>
    <row r="5" spans="1:14" ht="25" x14ac:dyDescent="0.25">
      <c r="A5" s="37" t="s">
        <v>96</v>
      </c>
      <c r="B5" s="18" t="s">
        <v>301</v>
      </c>
      <c r="C5" s="164" t="s">
        <v>302</v>
      </c>
      <c r="D5" s="38" t="s">
        <v>84</v>
      </c>
      <c r="E5" s="115">
        <f>IF(B9&gt;0,E4/B9,"")</f>
        <v>0.26328780648346223</v>
      </c>
      <c r="G5" s="122" t="s">
        <v>98</v>
      </c>
      <c r="H5" s="123" t="s">
        <v>148</v>
      </c>
    </row>
    <row r="6" spans="1:14" ht="13" thickBot="1" x14ac:dyDescent="0.3">
      <c r="A6" s="38" t="s">
        <v>97</v>
      </c>
      <c r="B6" s="19" t="s">
        <v>303</v>
      </c>
      <c r="C6" s="151"/>
      <c r="D6" s="116" t="s">
        <v>85</v>
      </c>
      <c r="E6" s="117">
        <f>IF(E4="","",IF(E4&gt;=Forside!$H$7,4,IF(E4&gt;=Forside!$H$8,3,IF(E4&gt;=Forside!$H$9,2,IF(E4&gt;0,1,"")))))</f>
        <v>2</v>
      </c>
      <c r="G6" s="38" t="s">
        <v>99</v>
      </c>
      <c r="H6" s="40">
        <v>10</v>
      </c>
    </row>
    <row r="7" spans="1:14" ht="13" thickBot="1" x14ac:dyDescent="0.3">
      <c r="A7" s="38" t="s">
        <v>77</v>
      </c>
      <c r="B7" s="19" t="s">
        <v>192</v>
      </c>
      <c r="C7" s="151"/>
      <c r="D7" s="27"/>
      <c r="E7" s="28"/>
      <c r="G7" s="17" t="s">
        <v>66</v>
      </c>
      <c r="H7" s="42">
        <v>80</v>
      </c>
    </row>
    <row r="8" spans="1:14" ht="13" x14ac:dyDescent="0.3">
      <c r="A8" s="38" t="s">
        <v>91</v>
      </c>
      <c r="B8" s="14">
        <v>0.85</v>
      </c>
      <c r="C8" s="2"/>
      <c r="D8" s="118" t="s">
        <v>87</v>
      </c>
      <c r="E8" s="114"/>
      <c r="G8" s="38" t="s">
        <v>100</v>
      </c>
      <c r="H8" s="14">
        <v>55</v>
      </c>
    </row>
    <row r="9" spans="1:14" ht="13" thickBot="1" x14ac:dyDescent="0.3">
      <c r="A9" s="125" t="s">
        <v>6</v>
      </c>
      <c r="B9" s="20">
        <f>J55/1000000</f>
        <v>3.7981250000000002</v>
      </c>
      <c r="C9" s="2"/>
      <c r="D9" s="38" t="s">
        <v>112</v>
      </c>
      <c r="E9" s="119">
        <f>K16</f>
        <v>0.45</v>
      </c>
      <c r="G9" s="38" t="s">
        <v>101</v>
      </c>
      <c r="H9" s="14">
        <v>65</v>
      </c>
    </row>
    <row r="10" spans="1:14" x14ac:dyDescent="0.25">
      <c r="C10" s="36"/>
      <c r="D10" s="38" t="s">
        <v>123</v>
      </c>
      <c r="E10" s="120">
        <f>K22</f>
        <v>0.1</v>
      </c>
      <c r="G10" s="38" t="s">
        <v>102</v>
      </c>
      <c r="H10" s="14">
        <v>0</v>
      </c>
    </row>
    <row r="11" spans="1:14" ht="24.75" customHeight="1" thickBot="1" x14ac:dyDescent="0.3">
      <c r="C11" s="36"/>
      <c r="D11" s="116" t="s">
        <v>130</v>
      </c>
      <c r="E11" s="121">
        <f>K26</f>
        <v>0.45</v>
      </c>
    </row>
    <row r="12" spans="1:14" ht="13.5" thickBot="1" x14ac:dyDescent="0.3">
      <c r="A12" s="135" t="s">
        <v>17</v>
      </c>
      <c r="B12" s="105"/>
      <c r="C12" s="17"/>
      <c r="D12" s="17"/>
      <c r="E12"/>
    </row>
    <row r="13" spans="1:14" ht="13" x14ac:dyDescent="0.25">
      <c r="A13" s="261" t="s">
        <v>304</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0.45</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87" t="s">
        <v>305</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65</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152</v>
      </c>
      <c r="I21" s="85">
        <f>Forside!E9</f>
        <v>0.05</v>
      </c>
      <c r="J21" s="64">
        <f>IF(H21=A106,B106,IF(H21=A107,B107,(IF(H21=A108,B108,(IF(H21=A109,B109,(IF(H21=A110,B110,""))))))))</f>
        <v>4</v>
      </c>
      <c r="K21" s="65">
        <f t="shared" si="0"/>
        <v>0.2</v>
      </c>
    </row>
    <row r="22" spans="1:11" ht="16.5" thickBot="1" x14ac:dyDescent="0.35">
      <c r="A22" s="269"/>
      <c r="B22" s="270"/>
      <c r="C22" s="112"/>
      <c r="D22" s="112"/>
      <c r="E22" s="39"/>
      <c r="G22" s="57" t="s">
        <v>123</v>
      </c>
      <c r="H22" s="68"/>
      <c r="I22" s="59">
        <f>Forside!E10</f>
        <v>0.25</v>
      </c>
      <c r="J22" s="68"/>
      <c r="K22" s="69">
        <f>IF(J23="","",SUM(K23:K25))</f>
        <v>0.1</v>
      </c>
    </row>
    <row r="23" spans="1:11" ht="38" thickBot="1" x14ac:dyDescent="0.35">
      <c r="A23" s="271"/>
      <c r="B23" s="272"/>
      <c r="C23" s="112"/>
      <c r="D23" s="112"/>
      <c r="G23" s="70" t="s">
        <v>77</v>
      </c>
      <c r="H23" s="71" t="s">
        <v>49</v>
      </c>
      <c r="I23" s="85">
        <f>Forside!E11</f>
        <v>0.1</v>
      </c>
      <c r="J23" s="72">
        <f>IF(H23=A88,B88,IF(H23=A89,B89,(IF(H23=A90,B90,(IF(H23=A91,B91,(IF(H23=A92,B92,""))))))))</f>
        <v>1</v>
      </c>
      <c r="K23" s="73">
        <f t="shared" si="0"/>
        <v>0.1</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10" t="s">
        <v>184</v>
      </c>
      <c r="B26" s="47"/>
      <c r="C26" s="47"/>
      <c r="D26" s="48"/>
      <c r="E26" s="39"/>
      <c r="G26" s="57" t="s">
        <v>130</v>
      </c>
      <c r="H26" s="58"/>
      <c r="I26" s="59">
        <f>Forside!E14</f>
        <v>0.5</v>
      </c>
      <c r="J26" s="58"/>
      <c r="K26" s="60">
        <f>IF(J27="","",SUM(K27:K29))</f>
        <v>0.45</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63</v>
      </c>
      <c r="I28" s="85">
        <f>Forside!E16</f>
        <v>0.05</v>
      </c>
      <c r="J28" s="128">
        <f>IF(H28=A128,B128,IF(H28=A129,B129,(IF(H28=A130,B130,(IF(H28=A131,B131,(IF(H28=A132,B132,""))))))))</f>
        <v>4</v>
      </c>
      <c r="K28" s="131">
        <f t="shared" si="0"/>
        <v>0.2</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446</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850</v>
      </c>
      <c r="I46" s="141">
        <f>Enhedspriser!C3</f>
        <v>3750</v>
      </c>
      <c r="J46" s="145">
        <f>H46*I46</f>
        <v>3187500</v>
      </c>
      <c r="L46" s="250" t="s">
        <v>172</v>
      </c>
      <c r="M46" s="251"/>
      <c r="N46" s="252"/>
    </row>
    <row r="47" spans="6:14" ht="12.75" customHeight="1" x14ac:dyDescent="0.3">
      <c r="G47" s="140" t="s">
        <v>306</v>
      </c>
      <c r="H47" s="141">
        <v>1</v>
      </c>
      <c r="I47" s="141">
        <v>500000</v>
      </c>
      <c r="J47" s="145">
        <f>H47*I47</f>
        <v>500000</v>
      </c>
      <c r="K47" s="5" t="s">
        <v>307</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110625</v>
      </c>
    </row>
    <row r="55" spans="1:17" ht="27.75" customHeight="1" thickBot="1" x14ac:dyDescent="0.35">
      <c r="G55" s="149" t="s">
        <v>175</v>
      </c>
      <c r="H55" s="150"/>
      <c r="I55" s="150"/>
      <c r="J55" s="146">
        <f>SUM(J46:J54)</f>
        <v>3798125</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0917601B-B591-4BEC-8715-E7CA6DE54239}">
      <formula1>$A$113:$A$117</formula1>
    </dataValidation>
    <dataValidation type="list" allowBlank="1" showInputMessage="1" showErrorMessage="1" sqref="H25" xr:uid="{D6D3166D-130F-4D37-A2D0-4EF3DD8826D6}">
      <formula1>$A$97:$A$102</formula1>
    </dataValidation>
    <dataValidation type="list" allowBlank="1" showInputMessage="1" showErrorMessage="1" sqref="H21" xr:uid="{A3B2D488-A11E-40EB-8DF4-2D6AE35563B5}">
      <formula1>$A$106:$A$110</formula1>
    </dataValidation>
    <dataValidation type="list" allowBlank="1" showInputMessage="1" showErrorMessage="1" sqref="H28" xr:uid="{A0AC0E6F-A89D-41B5-BA09-DB11B4C71B91}">
      <formula1>$A$128:$A$132</formula1>
    </dataValidation>
    <dataValidation type="list" allowBlank="1" showInputMessage="1" showErrorMessage="1" sqref="H24" xr:uid="{0BEBBD27-B75F-4104-BF06-7A52A57B7E0B}">
      <formula1>$A$137:$A$141</formula1>
    </dataValidation>
    <dataValidation type="list" allowBlank="1" showInputMessage="1" showErrorMessage="1" sqref="H29" xr:uid="{FEF20954-78FB-488B-8B81-619CFB5132CE}">
      <formula1>$A$120:$A$124</formula1>
    </dataValidation>
    <dataValidation type="list" allowBlank="1" showInputMessage="1" showErrorMessage="1" sqref="H7" xr:uid="{A92AE708-720D-4CD2-8F0E-982A3940DD14}">
      <formula1>$A$69:$A$78</formula1>
    </dataValidation>
    <dataValidation type="list" allowBlank="1" showInputMessage="1" showErrorMessage="1" sqref="H23" xr:uid="{A06C71E7-9B69-4958-81D2-7E7CAB4BFE57}">
      <formula1>$A$88:$A$92</formula1>
    </dataValidation>
    <dataValidation type="list" allowBlank="1" showInputMessage="1" showErrorMessage="1" sqref="H5" xr:uid="{F2A3F146-63FF-4C21-BB75-7890F4284902}">
      <formula1>$A$81:$A$85</formula1>
    </dataValidation>
  </dataValidations>
  <hyperlinks>
    <hyperlink ref="C5" r:id="rId1" xr:uid="{921BF971-557E-4F84-A05A-F300E254A595}"/>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61EF86-3A49-47D8-A4F8-07FBC2183E9F}">
  <sheetPr codeName="Sheet84"/>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27</v>
      </c>
      <c r="C4" s="151"/>
      <c r="D4" s="38" t="s">
        <v>2</v>
      </c>
      <c r="E4" s="115">
        <f>IF(K30&gt;0,K30,"")</f>
        <v>1.2</v>
      </c>
      <c r="G4" s="133" t="s">
        <v>173</v>
      </c>
      <c r="H4" s="124"/>
      <c r="L4" s="139" t="s">
        <v>5</v>
      </c>
      <c r="M4" s="284" t="s">
        <v>466</v>
      </c>
      <c r="N4" s="260"/>
    </row>
    <row r="5" spans="1:14" ht="25" x14ac:dyDescent="0.25">
      <c r="A5" s="37" t="s">
        <v>96</v>
      </c>
      <c r="B5" s="18" t="s">
        <v>308</v>
      </c>
      <c r="C5" s="164" t="s">
        <v>309</v>
      </c>
      <c r="D5" s="38" t="s">
        <v>84</v>
      </c>
      <c r="E5" s="115">
        <f>IF(B9&gt;0,E4/B9,"")</f>
        <v>0.13911027387335168</v>
      </c>
      <c r="G5" s="122" t="s">
        <v>98</v>
      </c>
      <c r="H5" s="123" t="s">
        <v>149</v>
      </c>
      <c r="I5" s="5" t="s">
        <v>468</v>
      </c>
    </row>
    <row r="6" spans="1:14" ht="13" thickBot="1" x14ac:dyDescent="0.3">
      <c r="A6" s="38" t="s">
        <v>97</v>
      </c>
      <c r="B6" s="19" t="s">
        <v>310</v>
      </c>
      <c r="C6" s="151"/>
      <c r="D6" s="116" t="s">
        <v>85</v>
      </c>
      <c r="E6" s="117">
        <f>IF(E4="","",IF(E4&gt;=Forside!$H$7,4,IF(E4&gt;=Forside!$H$8,3,IF(E4&gt;=Forside!$H$9,2,IF(E4&gt;0,1,"")))))</f>
        <v>2</v>
      </c>
      <c r="G6" s="38" t="s">
        <v>99</v>
      </c>
      <c r="H6" s="40">
        <v>20</v>
      </c>
    </row>
    <row r="7" spans="1:14" ht="13" thickBot="1" x14ac:dyDescent="0.3">
      <c r="A7" s="38" t="s">
        <v>77</v>
      </c>
      <c r="B7" s="19" t="s">
        <v>192</v>
      </c>
      <c r="C7" s="151"/>
      <c r="D7" s="27"/>
      <c r="E7" s="28"/>
      <c r="G7" s="17" t="s">
        <v>66</v>
      </c>
      <c r="H7" s="42">
        <v>40</v>
      </c>
    </row>
    <row r="8" spans="1:14" ht="13" x14ac:dyDescent="0.3">
      <c r="A8" s="38" t="s">
        <v>91</v>
      </c>
      <c r="B8" s="14">
        <v>2.1</v>
      </c>
      <c r="C8" s="2"/>
      <c r="D8" s="118" t="s">
        <v>87</v>
      </c>
      <c r="E8" s="114"/>
      <c r="G8" s="38" t="s">
        <v>100</v>
      </c>
      <c r="H8" s="14">
        <v>40</v>
      </c>
    </row>
    <row r="9" spans="1:14" ht="13" thickBot="1" x14ac:dyDescent="0.3">
      <c r="A9" s="125" t="s">
        <v>6</v>
      </c>
      <c r="B9" s="20">
        <f>J55/1000000</f>
        <v>8.6262500000000006</v>
      </c>
      <c r="C9" s="2"/>
      <c r="D9" s="38" t="s">
        <v>112</v>
      </c>
      <c r="E9" s="119">
        <f>K16</f>
        <v>0.55000000000000004</v>
      </c>
      <c r="G9" s="38" t="s">
        <v>101</v>
      </c>
      <c r="H9" s="14">
        <v>47</v>
      </c>
    </row>
    <row r="10" spans="1:14" x14ac:dyDescent="0.25">
      <c r="C10" s="36"/>
      <c r="D10" s="38" t="s">
        <v>123</v>
      </c>
      <c r="E10" s="120">
        <f>K22</f>
        <v>0.2</v>
      </c>
      <c r="G10" s="38" t="s">
        <v>102</v>
      </c>
      <c r="H10" s="14">
        <v>1</v>
      </c>
    </row>
    <row r="11" spans="1:14" ht="24.75" customHeight="1" thickBot="1" x14ac:dyDescent="0.3">
      <c r="C11" s="36"/>
      <c r="D11" s="116" t="s">
        <v>130</v>
      </c>
      <c r="E11" s="121">
        <f>K26</f>
        <v>0.45</v>
      </c>
    </row>
    <row r="12" spans="1:14" ht="13.5" thickBot="1" x14ac:dyDescent="0.3">
      <c r="A12" s="135" t="s">
        <v>17</v>
      </c>
      <c r="B12" s="105"/>
      <c r="C12" s="17"/>
      <c r="D12" s="17"/>
      <c r="E12"/>
    </row>
    <row r="13" spans="1:14" ht="13" x14ac:dyDescent="0.25">
      <c r="A13" s="261" t="s">
        <v>311</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0.55000000000000004</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312</v>
      </c>
      <c r="B19" s="268"/>
      <c r="C19" s="112"/>
      <c r="D19" s="112"/>
      <c r="E19" s="39"/>
      <c r="G19" s="41" t="s">
        <v>66</v>
      </c>
      <c r="H19" s="104">
        <f>IF(H7="","",H7)</f>
        <v>40</v>
      </c>
      <c r="I19" s="85">
        <f>Forside!E7</f>
        <v>0.05</v>
      </c>
      <c r="J19" s="64">
        <f>IF(H19=A69,B69,IF(H19=A70,B70,IF(H19=A71,B71,IF(H19=A72,B72,IF(H19=A73,B73,IF(H19=A74,B74,IF(H19=A75,B75,IF(H19=A76,B76,IF(H19=A77,B77,IF(H19=A78,B78,""))))))))))</f>
        <v>0</v>
      </c>
      <c r="K19" s="65">
        <f t="shared" si="0"/>
        <v>0</v>
      </c>
    </row>
    <row r="20" spans="1:11" ht="15.75" customHeight="1" thickBot="1" x14ac:dyDescent="0.3">
      <c r="A20" s="269"/>
      <c r="B20" s="270"/>
      <c r="C20" s="112"/>
      <c r="D20" s="112"/>
      <c r="E20" s="39"/>
      <c r="G20" s="41" t="s">
        <v>89</v>
      </c>
      <c r="H20" s="104">
        <f>IF(H9="","",H9)</f>
        <v>47</v>
      </c>
      <c r="I20" s="85">
        <f>Forside!E8</f>
        <v>0.05</v>
      </c>
      <c r="J20" s="66">
        <f>IF(H20="","",IF(H19="","",IF(H20&lt;=H19,0,IF(H20&lt;H19*1.05,1,IF(H20&lt;H19*1.1,2,IF(H20&lt;H19*1.15,3,IF(H20&gt;=H19*1.15,4,"")))))))</f>
        <v>4</v>
      </c>
      <c r="K20" s="65">
        <f t="shared" si="0"/>
        <v>0.2</v>
      </c>
    </row>
    <row r="21" spans="1:11" ht="16.5" thickBot="1" x14ac:dyDescent="0.3">
      <c r="A21" s="269"/>
      <c r="B21" s="270"/>
      <c r="C21" s="112"/>
      <c r="D21" s="112"/>
      <c r="E21" s="39"/>
      <c r="G21" s="101" t="s">
        <v>122</v>
      </c>
      <c r="H21" s="67" t="s">
        <v>152</v>
      </c>
      <c r="I21" s="85">
        <f>Forside!E9</f>
        <v>0.05</v>
      </c>
      <c r="J21" s="64">
        <f>IF(H21=A106,B106,IF(H21=A107,B107,(IF(H21=A108,B108,(IF(H21=A109,B109,(IF(H21=A110,B110,""))))))))</f>
        <v>4</v>
      </c>
      <c r="K21" s="65">
        <f t="shared" si="0"/>
        <v>0.2</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0</v>
      </c>
      <c r="D26" s="156">
        <v>0</v>
      </c>
      <c r="E26" s="39"/>
      <c r="G26" s="57" t="s">
        <v>130</v>
      </c>
      <c r="H26" s="58"/>
      <c r="I26" s="59">
        <f>Forside!E14</f>
        <v>0.5</v>
      </c>
      <c r="J26" s="58"/>
      <c r="K26" s="60">
        <f>IF(J27="","",SUM(K27:K29))</f>
        <v>0.45</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63</v>
      </c>
      <c r="I28" s="85">
        <f>Forside!E16</f>
        <v>0.05</v>
      </c>
      <c r="J28" s="128">
        <f>IF(H28=A128,B128,IF(H28=A129,B129,(IF(H28=A130,B130,(IF(H28=A131,B131,(IF(H28=A132,B132,""))))))))</f>
        <v>4</v>
      </c>
      <c r="K28" s="131">
        <f t="shared" si="0"/>
        <v>0.2</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1.2</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446</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2100</v>
      </c>
      <c r="I46" s="141">
        <f>Enhedspriser!C3</f>
        <v>3750</v>
      </c>
      <c r="J46" s="145">
        <f>H46*I46</f>
        <v>7875000</v>
      </c>
      <c r="L46" s="250" t="s">
        <v>172</v>
      </c>
      <c r="M46" s="251"/>
      <c r="N46" s="252"/>
    </row>
    <row r="47" spans="6:14" ht="12.75" customHeight="1" x14ac:dyDescent="0.3">
      <c r="G47" s="140" t="s">
        <v>313</v>
      </c>
      <c r="H47" s="141">
        <v>1</v>
      </c>
      <c r="I47" s="141">
        <v>500000</v>
      </c>
      <c r="J47" s="145">
        <f>H47*I47</f>
        <v>500000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251250</v>
      </c>
    </row>
    <row r="55" spans="1:17" ht="27.75" customHeight="1" thickBot="1" x14ac:dyDescent="0.35">
      <c r="G55" s="149" t="s">
        <v>175</v>
      </c>
      <c r="H55" s="150"/>
      <c r="I55" s="150"/>
      <c r="J55" s="146">
        <f>SUM(J46:J54)</f>
        <v>8626250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6820DAEA-80A9-4179-BA2C-30F3EFAACB3F}">
      <formula1>$A$113:$A$117</formula1>
    </dataValidation>
    <dataValidation type="list" allowBlank="1" showInputMessage="1" showErrorMessage="1" sqref="H25" xr:uid="{F2C6A8FC-7AAB-4B5A-8929-97937C1EFF5F}">
      <formula1>$A$97:$A$102</formula1>
    </dataValidation>
    <dataValidation type="list" allowBlank="1" showInputMessage="1" showErrorMessage="1" sqref="H21" xr:uid="{7D48B212-0D5E-4C62-B1AF-C0308D40C747}">
      <formula1>$A$106:$A$110</formula1>
    </dataValidation>
    <dataValidation type="list" allowBlank="1" showInputMessage="1" showErrorMessage="1" sqref="H28" xr:uid="{1B586501-5804-4D95-A840-BC849F0445B6}">
      <formula1>$A$128:$A$132</formula1>
    </dataValidation>
    <dataValidation type="list" allowBlank="1" showInputMessage="1" showErrorMessage="1" sqref="H24" xr:uid="{5C36D77C-D194-4666-8E53-188A4555046F}">
      <formula1>$A$137:$A$141</formula1>
    </dataValidation>
    <dataValidation type="list" allowBlank="1" showInputMessage="1" showErrorMessage="1" sqref="H29" xr:uid="{644BF8E2-F896-4DB8-9351-70B371B5BAEC}">
      <formula1>$A$120:$A$124</formula1>
    </dataValidation>
    <dataValidation type="list" allowBlank="1" showInputMessage="1" showErrorMessage="1" sqref="H7" xr:uid="{13770913-D8DB-4AA7-986A-F44662914C9A}">
      <formula1>$A$69:$A$78</formula1>
    </dataValidation>
    <dataValidation type="list" allowBlank="1" showInputMessage="1" showErrorMessage="1" sqref="H23" xr:uid="{FFBF091A-2EEF-42E9-AED3-DFFE3DF55C79}">
      <formula1>$A$88:$A$92</formula1>
    </dataValidation>
    <dataValidation type="list" allowBlank="1" showInputMessage="1" showErrorMessage="1" sqref="H5" xr:uid="{53751542-3E90-4B64-88D4-C40A028EAE27}">
      <formula1>$A$81:$A$85</formula1>
    </dataValidation>
  </dataValidations>
  <hyperlinks>
    <hyperlink ref="C5" r:id="rId1" xr:uid="{B433C856-8BDD-4086-8285-A8CB6C8D9D39}"/>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9"/>
    <pageSetUpPr fitToPage="1"/>
  </sheetPr>
  <dimension ref="A1:N168"/>
  <sheetViews>
    <sheetView topLeftCell="B1" zoomScaleNormal="100" workbookViewId="0">
      <selection activeCell="E4" sqref="E4:E7"/>
    </sheetView>
  </sheetViews>
  <sheetFormatPr defaultRowHeight="12.5" x14ac:dyDescent="0.25"/>
  <cols>
    <col min="1" max="1" width="15.1796875" hidden="1" customWidth="1"/>
    <col min="2" max="2" width="11.7265625" customWidth="1"/>
    <col min="3" max="3" width="10.7265625" customWidth="1"/>
    <col min="4" max="4" width="10.54296875" customWidth="1"/>
    <col min="5" max="5" width="33.1796875" customWidth="1"/>
    <col min="6" max="6" width="52" customWidth="1"/>
    <col min="7" max="7" width="19" bestFit="1" customWidth="1"/>
    <col min="8" max="10" width="18.1796875" customWidth="1"/>
    <col min="11" max="12" width="9.7265625" customWidth="1"/>
    <col min="13" max="13" width="13.26953125" customWidth="1"/>
    <col min="14" max="14" width="7.7265625" customWidth="1"/>
  </cols>
  <sheetData>
    <row r="1" spans="1:14" ht="24" customHeight="1" x14ac:dyDescent="0.5">
      <c r="D1" s="89" t="s">
        <v>105</v>
      </c>
      <c r="K1" t="s">
        <v>18</v>
      </c>
      <c r="M1" s="17" t="s">
        <v>106</v>
      </c>
      <c r="N1" s="17"/>
    </row>
    <row r="2" spans="1:14" ht="24" customHeight="1" thickBot="1" x14ac:dyDescent="0.55000000000000004">
      <c r="D2" s="89"/>
      <c r="K2" t="s">
        <v>19</v>
      </c>
      <c r="M2" s="17" t="s">
        <v>157</v>
      </c>
      <c r="N2" s="17"/>
    </row>
    <row r="3" spans="1:14" ht="13.5" thickBot="1" x14ac:dyDescent="0.35">
      <c r="B3" s="275" t="s">
        <v>14</v>
      </c>
      <c r="C3" s="276"/>
      <c r="D3" s="276"/>
      <c r="E3" s="90" t="s">
        <v>1</v>
      </c>
      <c r="H3" s="91"/>
      <c r="K3" t="s">
        <v>20</v>
      </c>
      <c r="M3" s="17" t="s">
        <v>469</v>
      </c>
    </row>
    <row r="4" spans="1:14" x14ac:dyDescent="0.25">
      <c r="B4" s="277" t="s">
        <v>112</v>
      </c>
      <c r="C4" s="278"/>
      <c r="D4" s="278"/>
      <c r="E4" s="92">
        <f>Forside!E4</f>
        <v>0.25</v>
      </c>
      <c r="K4" t="s">
        <v>21</v>
      </c>
      <c r="M4" s="17" t="s">
        <v>28</v>
      </c>
    </row>
    <row r="5" spans="1:14" x14ac:dyDescent="0.25">
      <c r="B5" s="279" t="s">
        <v>123</v>
      </c>
      <c r="C5" s="278"/>
      <c r="D5" s="278"/>
      <c r="E5" s="92">
        <f>Forside!E10</f>
        <v>0.25</v>
      </c>
      <c r="K5" s="17"/>
      <c r="L5" s="17"/>
      <c r="M5" s="17"/>
    </row>
    <row r="6" spans="1:14" ht="13" thickBot="1" x14ac:dyDescent="0.3">
      <c r="A6" t="str">
        <f>"A"&amp;14+COUNTA(A14:A164)&amp;":A165"</f>
        <v>A62:A165</v>
      </c>
      <c r="B6" s="277" t="s">
        <v>130</v>
      </c>
      <c r="C6" s="278"/>
      <c r="D6" s="278"/>
      <c r="E6" s="92">
        <f>Forside!E14</f>
        <v>0.5</v>
      </c>
      <c r="K6" t="s">
        <v>27</v>
      </c>
      <c r="M6" s="93"/>
    </row>
    <row r="7" spans="1:14" ht="13.5" thickBot="1" x14ac:dyDescent="0.35">
      <c r="B7" s="275" t="s">
        <v>13</v>
      </c>
      <c r="C7" s="276"/>
      <c r="D7" s="276"/>
      <c r="E7" s="6" t="str">
        <f>IF(SUM(E4:E6)=1,"100%","Forkert vægtning")</f>
        <v>100%</v>
      </c>
    </row>
    <row r="11" spans="1:14" ht="13.5" thickBot="1" x14ac:dyDescent="0.35">
      <c r="D11" s="94"/>
      <c r="E11" s="94"/>
      <c r="F11" s="94"/>
    </row>
    <row r="12" spans="1:14" ht="13.15" customHeight="1" x14ac:dyDescent="0.3">
      <c r="B12" s="273" t="s">
        <v>25</v>
      </c>
      <c r="C12" s="273" t="s">
        <v>26</v>
      </c>
      <c r="D12" s="273" t="s">
        <v>4</v>
      </c>
      <c r="E12" s="273" t="s">
        <v>7</v>
      </c>
      <c r="F12" s="273" t="s">
        <v>17</v>
      </c>
      <c r="G12" s="273" t="s">
        <v>10</v>
      </c>
      <c r="H12" s="280" t="s">
        <v>16</v>
      </c>
      <c r="I12" s="281"/>
      <c r="J12" s="281"/>
      <c r="K12" s="273" t="s">
        <v>15</v>
      </c>
      <c r="L12" s="95"/>
      <c r="M12" s="282" t="s">
        <v>8</v>
      </c>
    </row>
    <row r="13" spans="1:14" ht="39.75" customHeight="1" thickBot="1" x14ac:dyDescent="0.3">
      <c r="B13" s="274" t="s">
        <v>23</v>
      </c>
      <c r="C13" s="274" t="s">
        <v>24</v>
      </c>
      <c r="D13" s="274"/>
      <c r="E13" s="274"/>
      <c r="F13" s="274"/>
      <c r="G13" s="274"/>
      <c r="H13" s="107" t="s">
        <v>112</v>
      </c>
      <c r="I13" s="108" t="s">
        <v>123</v>
      </c>
      <c r="J13" s="108" t="s">
        <v>130</v>
      </c>
      <c r="K13" s="274"/>
      <c r="L13" s="96" t="s">
        <v>88</v>
      </c>
      <c r="M13" s="283"/>
    </row>
    <row r="14" spans="1:14" x14ac:dyDescent="0.25">
      <c r="A14">
        <v>44</v>
      </c>
      <c r="B14" s="12" t="str">
        <f t="shared" ref="B14:B45" ca="1" si="0">IFERROR(RANK(M14,$M$14:$M$164,0),"")</f>
        <v/>
      </c>
      <c r="C14" s="12">
        <f t="shared" ref="C14:C45" ca="1" si="1">IFERROR(RANK(K14,$K$14:$K$164,0),"")</f>
        <v>1</v>
      </c>
      <c r="D14" s="12">
        <f t="shared" ref="D14:D45" ca="1" si="2">IFERROR(INDIRECT("'"&amp;$A14&amp;"'!B4"),"")</f>
        <v>44</v>
      </c>
      <c r="E14" s="7" t="str">
        <f t="shared" ref="E14:E45" ca="1" si="3">IFERROR(INDIRECT("'"&amp;$A14&amp;"'!B6"),"")</f>
        <v>Thorsagervej ml byzonetavle og Vestergade</v>
      </c>
      <c r="F14" s="9" t="str">
        <f t="shared" ref="F14:F45" ca="1" si="4">IFERROR(INDIRECT("'"&amp;$A14&amp;"'!B7"),"")</f>
        <v>Enkeltrettede cykelstier</v>
      </c>
      <c r="G14" s="8">
        <f t="shared" ref="G14:G45" ca="1" si="5">IFERROR(INDIRECT("'"&amp;$A14&amp;"'!b9"),"")</f>
        <v>0</v>
      </c>
      <c r="H14" s="10">
        <f t="shared" ref="H14:H45" ca="1" si="6">IFERROR(INDIRECT("'"&amp;$A14&amp;"'!E9"),"")</f>
        <v>0.30000000000000004</v>
      </c>
      <c r="I14" s="10">
        <f t="shared" ref="I14:I45" ca="1" si="7">IFERROR(INDIRECT("'"&amp;$A14&amp;"'!E10"),"")</f>
        <v>0.70000000000000007</v>
      </c>
      <c r="J14" s="10">
        <f t="shared" ref="J14:J45" ca="1" si="8">IFERROR(INDIRECT("'"&amp;$A14&amp;"'!E11"),"")</f>
        <v>1.5</v>
      </c>
      <c r="K14" s="10">
        <f t="shared" ref="K14:K45" ca="1" si="9">IFERROR(INDIRECT("'"&amp;$A14&amp;"'!E4"),"")</f>
        <v>2.5</v>
      </c>
      <c r="L14" s="22">
        <f t="shared" ref="L14:L45" ca="1" si="10">IFERROR(INDIRECT("'"&amp;$A14&amp;"'!E6"),"")</f>
        <v>4</v>
      </c>
      <c r="M14" s="11" t="str">
        <f t="shared" ref="M14:M45" ca="1" si="11">IFERROR(INDIRECT("'"&amp;$A14&amp;"'!E5"),"")</f>
        <v/>
      </c>
    </row>
    <row r="15" spans="1:14" x14ac:dyDescent="0.25">
      <c r="A15">
        <v>21</v>
      </c>
      <c r="B15" s="12">
        <f t="shared" ca="1" si="0"/>
        <v>18</v>
      </c>
      <c r="C15" s="12">
        <f t="shared" ca="1" si="1"/>
        <v>2</v>
      </c>
      <c r="D15" s="12">
        <f t="shared" ca="1" si="2"/>
        <v>21</v>
      </c>
      <c r="E15" s="7" t="str">
        <f t="shared" ca="1" si="3"/>
        <v>Dråbyvej</v>
      </c>
      <c r="F15" s="9" t="str">
        <f t="shared" ca="1" si="4"/>
        <v>Enkelrettede cykelstier</v>
      </c>
      <c r="G15" s="8">
        <f t="shared" ca="1" si="5"/>
        <v>10.557499999999999</v>
      </c>
      <c r="H15" s="10">
        <f t="shared" ca="1" si="6"/>
        <v>0.45</v>
      </c>
      <c r="I15" s="10">
        <f t="shared" ca="1" si="7"/>
        <v>0.4</v>
      </c>
      <c r="J15" s="10">
        <f t="shared" ca="1" si="8"/>
        <v>1.4500000000000002</v>
      </c>
      <c r="K15" s="10">
        <f t="shared" ca="1" si="9"/>
        <v>2.3000000000000003</v>
      </c>
      <c r="L15" s="22">
        <f t="shared" ca="1" si="10"/>
        <v>4</v>
      </c>
      <c r="M15" s="11">
        <f t="shared" ca="1" si="11"/>
        <v>0.21785460573052337</v>
      </c>
    </row>
    <row r="16" spans="1:14" x14ac:dyDescent="0.25">
      <c r="A16">
        <v>51</v>
      </c>
      <c r="B16" s="12">
        <f t="shared" ca="1" si="0"/>
        <v>5</v>
      </c>
      <c r="C16" s="12">
        <f t="shared" ca="1" si="1"/>
        <v>3</v>
      </c>
      <c r="D16" s="12">
        <f t="shared" ca="1" si="2"/>
        <v>51</v>
      </c>
      <c r="E16" s="7" t="str">
        <f t="shared" ca="1" si="3"/>
        <v>Hornslet - sti langs banen</v>
      </c>
      <c r="F16" s="9" t="str">
        <f t="shared" ca="1" si="4"/>
        <v>Dobbeltrettet cykelsti</v>
      </c>
      <c r="G16" s="8">
        <f t="shared" ca="1" si="5"/>
        <v>2.8968750000000001</v>
      </c>
      <c r="H16" s="10">
        <f t="shared" ca="1" si="6"/>
        <v>0</v>
      </c>
      <c r="I16" s="10">
        <f t="shared" ca="1" si="7"/>
        <v>0.70000000000000007</v>
      </c>
      <c r="J16" s="10">
        <f t="shared" ca="1" si="8"/>
        <v>1.5</v>
      </c>
      <c r="K16" s="10">
        <f t="shared" ca="1" si="9"/>
        <v>2.2000000000000002</v>
      </c>
      <c r="L16" s="22">
        <f t="shared" ca="1" si="10"/>
        <v>4</v>
      </c>
      <c r="M16" s="11">
        <f t="shared" ca="1" si="11"/>
        <v>0.75943905070118667</v>
      </c>
    </row>
    <row r="17" spans="1:13" x14ac:dyDescent="0.25">
      <c r="A17">
        <v>11</v>
      </c>
      <c r="B17" s="12">
        <f t="shared" ca="1" si="0"/>
        <v>22</v>
      </c>
      <c r="C17" s="12">
        <f t="shared" ca="1" si="1"/>
        <v>3</v>
      </c>
      <c r="D17" s="12">
        <f t="shared" ca="1" si="2"/>
        <v>11</v>
      </c>
      <c r="E17" s="7" t="str">
        <f t="shared" ca="1" si="3"/>
        <v>Skalhøjvej</v>
      </c>
      <c r="F17" s="9" t="str">
        <f t="shared" ca="1" si="4"/>
        <v>Dobbeltrettet cykelti</v>
      </c>
      <c r="G17" s="8">
        <f t="shared" ca="1" si="5"/>
        <v>13.518750000000001</v>
      </c>
      <c r="H17" s="10">
        <f t="shared" ca="1" si="6"/>
        <v>0.5</v>
      </c>
      <c r="I17" s="10">
        <f t="shared" ca="1" si="7"/>
        <v>0.30000000000000004</v>
      </c>
      <c r="J17" s="10">
        <f t="shared" ca="1" si="8"/>
        <v>1.4</v>
      </c>
      <c r="K17" s="10">
        <f t="shared" ca="1" si="9"/>
        <v>2.2000000000000002</v>
      </c>
      <c r="L17" s="22">
        <f t="shared" ca="1" si="10"/>
        <v>4</v>
      </c>
      <c r="M17" s="11">
        <f t="shared" ca="1" si="11"/>
        <v>0.16273693943596856</v>
      </c>
    </row>
    <row r="18" spans="1:13" x14ac:dyDescent="0.25">
      <c r="A18">
        <v>9</v>
      </c>
      <c r="B18" s="12">
        <f t="shared" ca="1" si="0"/>
        <v>17</v>
      </c>
      <c r="C18" s="12">
        <f t="shared" ca="1" si="1"/>
        <v>5</v>
      </c>
      <c r="D18" s="12">
        <f t="shared" ca="1" si="2"/>
        <v>9</v>
      </c>
      <c r="E18" s="7" t="str">
        <f t="shared" ca="1" si="3"/>
        <v>Stranvejen</v>
      </c>
      <c r="F18" s="9" t="str">
        <f t="shared" ca="1" si="4"/>
        <v>Dobbeltrettet fællessti</v>
      </c>
      <c r="G18" s="8">
        <f t="shared" ca="1" si="5"/>
        <v>8.8064999999999998</v>
      </c>
      <c r="H18" s="10">
        <f t="shared" ca="1" si="6"/>
        <v>0.55000000000000004</v>
      </c>
      <c r="I18" s="10">
        <f t="shared" ca="1" si="7"/>
        <v>0.35000000000000003</v>
      </c>
      <c r="J18" s="10">
        <f t="shared" ca="1" si="8"/>
        <v>1.1000000000000001</v>
      </c>
      <c r="K18" s="10">
        <f t="shared" ca="1" si="9"/>
        <v>2</v>
      </c>
      <c r="L18" s="22">
        <f t="shared" ca="1" si="10"/>
        <v>4</v>
      </c>
      <c r="M18" s="11">
        <f t="shared" ca="1" si="11"/>
        <v>0.22710497927667064</v>
      </c>
    </row>
    <row r="19" spans="1:13" x14ac:dyDescent="0.25">
      <c r="A19">
        <v>34</v>
      </c>
      <c r="B19" s="12">
        <f t="shared" ca="1" si="0"/>
        <v>34</v>
      </c>
      <c r="C19" s="12">
        <f t="shared" ca="1" si="1"/>
        <v>5</v>
      </c>
      <c r="D19" s="12">
        <f t="shared" ca="1" si="2"/>
        <v>34</v>
      </c>
      <c r="E19" s="7" t="str">
        <f t="shared" ca="1" si="3"/>
        <v>Rosenholmvej</v>
      </c>
      <c r="F19" s="9" t="str">
        <f t="shared" ca="1" si="4"/>
        <v>Dobbeltrettet cykelsti</v>
      </c>
      <c r="G19" s="8">
        <f t="shared" ca="1" si="5"/>
        <v>18.024999999999999</v>
      </c>
      <c r="H19" s="10">
        <f t="shared" ca="1" si="6"/>
        <v>0.75</v>
      </c>
      <c r="I19" s="10">
        <f t="shared" ca="1" si="7"/>
        <v>0.60000000000000009</v>
      </c>
      <c r="J19" s="10">
        <f t="shared" ca="1" si="8"/>
        <v>0.65</v>
      </c>
      <c r="K19" s="10">
        <f t="shared" ca="1" si="9"/>
        <v>2</v>
      </c>
      <c r="L19" s="22">
        <f t="shared" ca="1" si="10"/>
        <v>4</v>
      </c>
      <c r="M19" s="11">
        <f t="shared" ca="1" si="11"/>
        <v>0.11095700416088766</v>
      </c>
    </row>
    <row r="20" spans="1:13" x14ac:dyDescent="0.25">
      <c r="A20">
        <v>14</v>
      </c>
      <c r="B20" s="12">
        <f t="shared" ca="1" si="0"/>
        <v>30</v>
      </c>
      <c r="C20" s="12">
        <f t="shared" ca="1" si="1"/>
        <v>7</v>
      </c>
      <c r="D20" s="12">
        <f t="shared" ca="1" si="2"/>
        <v>14</v>
      </c>
      <c r="E20" s="7" t="str">
        <f t="shared" ca="1" si="3"/>
        <v>Lunbakkevej</v>
      </c>
      <c r="F20" s="9" t="str">
        <f t="shared" ca="1" si="4"/>
        <v>Donneltrettet cykelsti</v>
      </c>
      <c r="G20" s="8">
        <f t="shared" ca="1" si="5"/>
        <v>15.45</v>
      </c>
      <c r="H20" s="10">
        <f t="shared" ca="1" si="6"/>
        <v>0.6</v>
      </c>
      <c r="I20" s="10">
        <f t="shared" ca="1" si="7"/>
        <v>0.2</v>
      </c>
      <c r="J20" s="10">
        <f t="shared" ca="1" si="8"/>
        <v>1.1499999999999999</v>
      </c>
      <c r="K20" s="10">
        <f t="shared" ca="1" si="9"/>
        <v>1.95</v>
      </c>
      <c r="L20" s="22">
        <f t="shared" ca="1" si="10"/>
        <v>4</v>
      </c>
      <c r="M20" s="11">
        <f t="shared" ca="1" si="11"/>
        <v>0.12621359223300971</v>
      </c>
    </row>
    <row r="21" spans="1:13" x14ac:dyDescent="0.25">
      <c r="A21">
        <v>7</v>
      </c>
      <c r="B21" s="12">
        <f t="shared" ca="1" si="0"/>
        <v>33</v>
      </c>
      <c r="C21" s="12">
        <f t="shared" ca="1" si="1"/>
        <v>7</v>
      </c>
      <c r="D21" s="12">
        <f t="shared" ca="1" si="2"/>
        <v>7</v>
      </c>
      <c r="E21" s="7" t="str">
        <f t="shared" ca="1" si="3"/>
        <v>Thorsagervej</v>
      </c>
      <c r="F21" s="9" t="str">
        <f t="shared" ca="1" si="4"/>
        <v>Dobbeltrettet cykelsti</v>
      </c>
      <c r="G21" s="8">
        <f t="shared" ca="1" si="5"/>
        <v>16.982125</v>
      </c>
      <c r="H21" s="10">
        <f t="shared" ca="1" si="6"/>
        <v>0.55000000000000004</v>
      </c>
      <c r="I21" s="10">
        <f t="shared" ca="1" si="7"/>
        <v>0.6</v>
      </c>
      <c r="J21" s="10">
        <f t="shared" ca="1" si="8"/>
        <v>0.8</v>
      </c>
      <c r="K21" s="10">
        <f t="shared" ca="1" si="9"/>
        <v>1.95</v>
      </c>
      <c r="L21" s="22">
        <f t="shared" ca="1" si="10"/>
        <v>4</v>
      </c>
      <c r="M21" s="11">
        <f t="shared" ca="1" si="11"/>
        <v>0.11482661916574044</v>
      </c>
    </row>
    <row r="22" spans="1:13" x14ac:dyDescent="0.25">
      <c r="A22">
        <v>39</v>
      </c>
      <c r="B22" s="12">
        <f t="shared" ca="1" si="0"/>
        <v>23</v>
      </c>
      <c r="C22" s="12">
        <f t="shared" ca="1" si="1"/>
        <v>9</v>
      </c>
      <c r="D22" s="12">
        <f t="shared" ca="1" si="2"/>
        <v>39</v>
      </c>
      <c r="E22" s="7" t="str">
        <f t="shared" ca="1" si="3"/>
        <v>Knebel-Vistoft</v>
      </c>
      <c r="F22" s="9" t="str">
        <f t="shared" ca="1" si="4"/>
        <v>Dobbeltrettet cykelsti</v>
      </c>
      <c r="G22" s="8">
        <f t="shared" ca="1" si="5"/>
        <v>11.510249999999999</v>
      </c>
      <c r="H22" s="10">
        <f t="shared" ca="1" si="6"/>
        <v>0.5</v>
      </c>
      <c r="I22" s="10">
        <f t="shared" ca="1" si="7"/>
        <v>0.30000000000000004</v>
      </c>
      <c r="J22" s="10">
        <f t="shared" ca="1" si="8"/>
        <v>1.05</v>
      </c>
      <c r="K22" s="10">
        <f t="shared" ca="1" si="9"/>
        <v>1.85</v>
      </c>
      <c r="L22" s="22">
        <f t="shared" ca="1" si="10"/>
        <v>4</v>
      </c>
      <c r="M22" s="11">
        <f t="shared" ca="1" si="11"/>
        <v>0.16072630915922767</v>
      </c>
    </row>
    <row r="23" spans="1:13" x14ac:dyDescent="0.25">
      <c r="A23">
        <v>31</v>
      </c>
      <c r="B23" s="12">
        <f t="shared" ca="1" si="0"/>
        <v>14</v>
      </c>
      <c r="C23" s="12">
        <f t="shared" ca="1" si="1"/>
        <v>10</v>
      </c>
      <c r="D23" s="12">
        <f t="shared" ca="1" si="2"/>
        <v>31</v>
      </c>
      <c r="E23" s="7" t="str">
        <f t="shared" ca="1" si="3"/>
        <v>Kirkebjergvej</v>
      </c>
      <c r="F23" s="9" t="str">
        <f t="shared" ca="1" si="4"/>
        <v>Dobbeltrettet cykelsti</v>
      </c>
      <c r="G23" s="8">
        <f t="shared" ca="1" si="5"/>
        <v>6.18</v>
      </c>
      <c r="H23" s="10">
        <f t="shared" ca="1" si="6"/>
        <v>0.5</v>
      </c>
      <c r="I23" s="10">
        <f t="shared" ca="1" si="7"/>
        <v>0.30000000000000004</v>
      </c>
      <c r="J23" s="10">
        <f t="shared" ca="1" si="8"/>
        <v>1</v>
      </c>
      <c r="K23" s="10">
        <f t="shared" ca="1" si="9"/>
        <v>1.8</v>
      </c>
      <c r="L23" s="22">
        <f t="shared" ca="1" si="10"/>
        <v>4</v>
      </c>
      <c r="M23" s="11">
        <f t="shared" ca="1" si="11"/>
        <v>0.29126213592233013</v>
      </c>
    </row>
    <row r="24" spans="1:13" x14ac:dyDescent="0.25">
      <c r="A24">
        <v>37</v>
      </c>
      <c r="B24" s="12">
        <f t="shared" ca="1" si="0"/>
        <v>40</v>
      </c>
      <c r="C24" s="12">
        <f t="shared" ca="1" si="1"/>
        <v>10</v>
      </c>
      <c r="D24" s="12">
        <f t="shared" ca="1" si="2"/>
        <v>37</v>
      </c>
      <c r="E24" s="7" t="str">
        <f t="shared" ca="1" si="3"/>
        <v>Frellingvej (Flintebakken)</v>
      </c>
      <c r="F24" s="9" t="str">
        <f t="shared" ca="1" si="4"/>
        <v>Dobbeltrettet cykelsti</v>
      </c>
      <c r="G24" s="8">
        <f t="shared" ca="1" si="5"/>
        <v>20.393999999999998</v>
      </c>
      <c r="H24" s="10">
        <f t="shared" ca="1" si="6"/>
        <v>0.75</v>
      </c>
      <c r="I24" s="10">
        <f t="shared" ca="1" si="7"/>
        <v>0.5</v>
      </c>
      <c r="J24" s="10">
        <f t="shared" ca="1" si="8"/>
        <v>0.55000000000000004</v>
      </c>
      <c r="K24" s="10">
        <f t="shared" ca="1" si="9"/>
        <v>1.8</v>
      </c>
      <c r="L24" s="22">
        <f t="shared" ca="1" si="10"/>
        <v>4</v>
      </c>
      <c r="M24" s="11">
        <f t="shared" ca="1" si="11"/>
        <v>8.8261253309797005E-2</v>
      </c>
    </row>
    <row r="25" spans="1:13" x14ac:dyDescent="0.25">
      <c r="A25">
        <v>2</v>
      </c>
      <c r="B25" s="12">
        <f t="shared" ca="1" si="0"/>
        <v>29</v>
      </c>
      <c r="C25" s="12">
        <f t="shared" ca="1" si="1"/>
        <v>12</v>
      </c>
      <c r="D25" s="12">
        <f t="shared" ca="1" si="2"/>
        <v>2</v>
      </c>
      <c r="E25" s="7" t="str">
        <f t="shared" ca="1" si="3"/>
        <v>Teglvangsvej</v>
      </c>
      <c r="F25" s="9" t="str">
        <f t="shared" ca="1" si="4"/>
        <v>Dobbeltrettet fællessti</v>
      </c>
      <c r="G25" s="8">
        <f t="shared" ca="1" si="5"/>
        <v>12.74625</v>
      </c>
      <c r="H25" s="10">
        <f t="shared" ca="1" si="6"/>
        <v>0.55000000000000004</v>
      </c>
      <c r="I25" s="10">
        <f t="shared" ca="1" si="7"/>
        <v>0.5</v>
      </c>
      <c r="J25" s="10">
        <f t="shared" ca="1" si="8"/>
        <v>0.70000000000000007</v>
      </c>
      <c r="K25" s="10">
        <f t="shared" ca="1" si="9"/>
        <v>1.75</v>
      </c>
      <c r="L25" s="22">
        <f t="shared" ca="1" si="10"/>
        <v>3</v>
      </c>
      <c r="M25" s="11">
        <f t="shared" ca="1" si="11"/>
        <v>0.13729528292635088</v>
      </c>
    </row>
    <row r="26" spans="1:13" x14ac:dyDescent="0.25">
      <c r="A26">
        <v>5</v>
      </c>
      <c r="B26" s="12">
        <f t="shared" ca="1" si="0"/>
        <v>36</v>
      </c>
      <c r="C26" s="12">
        <f t="shared" ca="1" si="1"/>
        <v>12</v>
      </c>
      <c r="D26" s="12">
        <f t="shared" ca="1" si="2"/>
        <v>5</v>
      </c>
      <c r="E26" s="7" t="str">
        <f t="shared" ca="1" si="3"/>
        <v>Mørkevej</v>
      </c>
      <c r="F26" s="9" t="str">
        <f t="shared" ca="1" si="4"/>
        <v>Dobbeltrettet cykelsti</v>
      </c>
      <c r="G26" s="8">
        <f t="shared" ca="1" si="5"/>
        <v>17.754625000000001</v>
      </c>
      <c r="H26" s="10">
        <f t="shared" ca="1" si="6"/>
        <v>0.5</v>
      </c>
      <c r="I26" s="10">
        <f t="shared" ca="1" si="7"/>
        <v>0.4</v>
      </c>
      <c r="J26" s="10">
        <f t="shared" ca="1" si="8"/>
        <v>0.85000000000000009</v>
      </c>
      <c r="K26" s="10">
        <f t="shared" ca="1" si="9"/>
        <v>1.75</v>
      </c>
      <c r="L26" s="22">
        <f t="shared" ca="1" si="10"/>
        <v>3</v>
      </c>
      <c r="M26" s="11">
        <f t="shared" ca="1" si="11"/>
        <v>9.856586664038243E-2</v>
      </c>
    </row>
    <row r="27" spans="1:13" x14ac:dyDescent="0.25">
      <c r="A27">
        <v>1</v>
      </c>
      <c r="B27" s="12">
        <f t="shared" ca="1" si="0"/>
        <v>44</v>
      </c>
      <c r="C27" s="12">
        <f t="shared" ca="1" si="1"/>
        <v>12</v>
      </c>
      <c r="D27" s="12">
        <f t="shared" ca="1" si="2"/>
        <v>1</v>
      </c>
      <c r="E27" s="7" t="str">
        <f t="shared" ca="1" si="3"/>
        <v>Borupvej</v>
      </c>
      <c r="F27" s="9" t="str">
        <f t="shared" ca="1" si="4"/>
        <v>Dobbeltrettet fællessti</v>
      </c>
      <c r="G27" s="8">
        <f t="shared" ca="1" si="5"/>
        <v>21.861750000000001</v>
      </c>
      <c r="H27" s="10">
        <f t="shared" ca="1" si="6"/>
        <v>0.4</v>
      </c>
      <c r="I27" s="10">
        <f t="shared" ca="1" si="7"/>
        <v>0.4</v>
      </c>
      <c r="J27" s="10">
        <f t="shared" ca="1" si="8"/>
        <v>0.95000000000000007</v>
      </c>
      <c r="K27" s="10">
        <f t="shared" ca="1" si="9"/>
        <v>1.75</v>
      </c>
      <c r="L27" s="22">
        <f t="shared" ca="1" si="10"/>
        <v>3</v>
      </c>
      <c r="M27" s="11">
        <f t="shared" ca="1" si="11"/>
        <v>8.0048486511830025E-2</v>
      </c>
    </row>
    <row r="28" spans="1:13" x14ac:dyDescent="0.25">
      <c r="A28">
        <v>50</v>
      </c>
      <c r="B28" s="12">
        <f t="shared" ca="1" si="0"/>
        <v>2</v>
      </c>
      <c r="C28" s="12">
        <f t="shared" ca="1" si="1"/>
        <v>15</v>
      </c>
      <c r="D28" s="12">
        <f t="shared" ca="1" si="2"/>
        <v>50</v>
      </c>
      <c r="E28" s="7" t="str">
        <f t="shared" ca="1" si="3"/>
        <v>Femmøller - Hovedgaden</v>
      </c>
      <c r="F28" s="9" t="str">
        <f t="shared" ca="1" si="4"/>
        <v>Enkeltrettede cykelstier</v>
      </c>
      <c r="G28" s="8">
        <f t="shared" ca="1" si="5"/>
        <v>0.77249999999999996</v>
      </c>
      <c r="H28" s="10">
        <f t="shared" ca="1" si="6"/>
        <v>0.2</v>
      </c>
      <c r="I28" s="10">
        <f t="shared" ca="1" si="7"/>
        <v>0.60000000000000009</v>
      </c>
      <c r="J28" s="10">
        <f t="shared" ca="1" si="8"/>
        <v>0.85000000000000009</v>
      </c>
      <c r="K28" s="10">
        <f t="shared" ca="1" si="9"/>
        <v>1.6500000000000001</v>
      </c>
      <c r="L28" s="22">
        <f t="shared" ca="1" si="10"/>
        <v>3</v>
      </c>
      <c r="M28" s="11">
        <f t="shared" ca="1" si="11"/>
        <v>2.1359223300970878</v>
      </c>
    </row>
    <row r="29" spans="1:13" x14ac:dyDescent="0.25">
      <c r="A29">
        <v>29</v>
      </c>
      <c r="B29" s="12">
        <f t="shared" ca="1" si="0"/>
        <v>39</v>
      </c>
      <c r="C29" s="12">
        <f t="shared" ca="1" si="1"/>
        <v>15</v>
      </c>
      <c r="D29" s="12">
        <f t="shared" ca="1" si="2"/>
        <v>29</v>
      </c>
      <c r="E29" s="7" t="str">
        <f t="shared" ca="1" si="3"/>
        <v>Søndre Molsvej</v>
      </c>
      <c r="F29" s="9" t="str">
        <f t="shared" ca="1" si="4"/>
        <v>Dobbeltrettet cykelsti</v>
      </c>
      <c r="G29" s="8">
        <f t="shared" ca="1" si="5"/>
        <v>17.767499999999998</v>
      </c>
      <c r="H29" s="10">
        <f t="shared" ca="1" si="6"/>
        <v>0.55000000000000004</v>
      </c>
      <c r="I29" s="10">
        <f t="shared" ca="1" si="7"/>
        <v>0.30000000000000004</v>
      </c>
      <c r="J29" s="10">
        <f t="shared" ca="1" si="8"/>
        <v>0.8</v>
      </c>
      <c r="K29" s="10">
        <f t="shared" ca="1" si="9"/>
        <v>1.6500000000000001</v>
      </c>
      <c r="L29" s="22">
        <f t="shared" ca="1" si="10"/>
        <v>3</v>
      </c>
      <c r="M29" s="11">
        <f t="shared" ca="1" si="11"/>
        <v>9.2866188265090771E-2</v>
      </c>
    </row>
    <row r="30" spans="1:13" x14ac:dyDescent="0.25">
      <c r="A30">
        <v>54</v>
      </c>
      <c r="B30" s="12">
        <f t="shared" ca="1" si="0"/>
        <v>8</v>
      </c>
      <c r="C30" s="12">
        <f t="shared" ca="1" si="1"/>
        <v>17</v>
      </c>
      <c r="D30" s="12">
        <f t="shared" ca="1" si="2"/>
        <v>54</v>
      </c>
      <c r="E30" s="7" t="str">
        <f t="shared" ca="1" si="3"/>
        <v>Rønde - Smouenvej - nord for slotsparken-Hovedgaden</v>
      </c>
      <c r="F30" s="9" t="str">
        <f t="shared" ca="1" si="4"/>
        <v>Enkeltrettede stier</v>
      </c>
      <c r="G30" s="8">
        <f t="shared" ca="1" si="5"/>
        <v>2.8325</v>
      </c>
      <c r="H30" s="10">
        <f t="shared" ca="1" si="6"/>
        <v>0.2</v>
      </c>
      <c r="I30" s="10">
        <f t="shared" ca="1" si="7"/>
        <v>0.5</v>
      </c>
      <c r="J30" s="10">
        <f t="shared" ca="1" si="8"/>
        <v>0.95000000000000007</v>
      </c>
      <c r="K30" s="10">
        <f t="shared" ca="1" si="9"/>
        <v>1.65</v>
      </c>
      <c r="L30" s="22">
        <f t="shared" ca="1" si="10"/>
        <v>3</v>
      </c>
      <c r="M30" s="11">
        <f t="shared" ca="1" si="11"/>
        <v>0.58252427184466016</v>
      </c>
    </row>
    <row r="31" spans="1:13" x14ac:dyDescent="0.25">
      <c r="A31">
        <v>13</v>
      </c>
      <c r="B31" s="12">
        <f t="shared" ca="1" si="0"/>
        <v>42</v>
      </c>
      <c r="C31" s="12">
        <f t="shared" ca="1" si="1"/>
        <v>18</v>
      </c>
      <c r="D31" s="12">
        <f t="shared" ca="1" si="2"/>
        <v>13</v>
      </c>
      <c r="E31" s="7" t="str">
        <f t="shared" ca="1" si="3"/>
        <v>Nødagervej</v>
      </c>
      <c r="F31" s="9" t="str">
        <f t="shared" ca="1" si="4"/>
        <v>Dobbeltrettet fællesti</v>
      </c>
      <c r="G31" s="8">
        <f t="shared" ca="1" si="5"/>
        <v>19.029250000000001</v>
      </c>
      <c r="H31" s="10">
        <f t="shared" ca="1" si="6"/>
        <v>0.4</v>
      </c>
      <c r="I31" s="10">
        <f t="shared" ca="1" si="7"/>
        <v>0.2</v>
      </c>
      <c r="J31" s="10">
        <f t="shared" ca="1" si="8"/>
        <v>0.95000000000000007</v>
      </c>
      <c r="K31" s="10">
        <f t="shared" ca="1" si="9"/>
        <v>1.5500000000000003</v>
      </c>
      <c r="L31" s="22">
        <f t="shared" ca="1" si="10"/>
        <v>3</v>
      </c>
      <c r="M31" s="11">
        <f t="shared" ca="1" si="11"/>
        <v>8.145355176898722E-2</v>
      </c>
    </row>
    <row r="32" spans="1:13" x14ac:dyDescent="0.25">
      <c r="A32">
        <v>10</v>
      </c>
      <c r="B32" s="12">
        <f t="shared" ca="1" si="0"/>
        <v>13</v>
      </c>
      <c r="C32" s="12">
        <f t="shared" ca="1" si="1"/>
        <v>19</v>
      </c>
      <c r="D32" s="12">
        <f t="shared" ca="1" si="2"/>
        <v>10</v>
      </c>
      <c r="E32" s="7" t="str">
        <f t="shared" ca="1" si="3"/>
        <v>Frederikslundvej</v>
      </c>
      <c r="F32" s="9" t="str">
        <f t="shared" ca="1" si="4"/>
        <v>Dobbeltrettet cykelsti</v>
      </c>
      <c r="G32" s="8">
        <f t="shared" ca="1" si="5"/>
        <v>4.6349999999999998</v>
      </c>
      <c r="H32" s="10">
        <f t="shared" ca="1" si="6"/>
        <v>0.55000000000000004</v>
      </c>
      <c r="I32" s="10">
        <f t="shared" ca="1" si="7"/>
        <v>0.30000000000000004</v>
      </c>
      <c r="J32" s="10">
        <f t="shared" ca="1" si="8"/>
        <v>0.6</v>
      </c>
      <c r="K32" s="10">
        <f t="shared" ca="1" si="9"/>
        <v>1.4500000000000002</v>
      </c>
      <c r="L32" s="22">
        <f t="shared" ca="1" si="10"/>
        <v>3</v>
      </c>
      <c r="M32" s="11">
        <f t="shared" ca="1" si="11"/>
        <v>0.31283710895361388</v>
      </c>
    </row>
    <row r="33" spans="1:13" x14ac:dyDescent="0.25">
      <c r="A33">
        <v>41</v>
      </c>
      <c r="B33" s="12">
        <f t="shared" ca="1" si="0"/>
        <v>12</v>
      </c>
      <c r="C33" s="12">
        <f t="shared" ca="1" si="1"/>
        <v>20</v>
      </c>
      <c r="D33" s="12">
        <f t="shared" ca="1" si="2"/>
        <v>41</v>
      </c>
      <c r="E33" s="7" t="str">
        <f t="shared" ca="1" si="3"/>
        <v>Øerkrogvejen</v>
      </c>
      <c r="F33" s="9" t="str">
        <f t="shared" ca="1" si="4"/>
        <v>Dobbeltrettet cykelsti</v>
      </c>
      <c r="G33" s="8">
        <f t="shared" ca="1" si="5"/>
        <v>3.8624999999999998</v>
      </c>
      <c r="H33" s="10">
        <f t="shared" ca="1" si="6"/>
        <v>0.39999999999999997</v>
      </c>
      <c r="I33" s="10">
        <f t="shared" ca="1" si="7"/>
        <v>0.4</v>
      </c>
      <c r="J33" s="10">
        <f t="shared" ca="1" si="8"/>
        <v>0.60000000000000009</v>
      </c>
      <c r="K33" s="10">
        <f t="shared" ca="1" si="9"/>
        <v>1.4000000000000001</v>
      </c>
      <c r="L33" s="22">
        <f t="shared" ca="1" si="10"/>
        <v>3</v>
      </c>
      <c r="M33" s="11">
        <f t="shared" ca="1" si="11"/>
        <v>0.36245954692556637</v>
      </c>
    </row>
    <row r="34" spans="1:13" x14ac:dyDescent="0.25">
      <c r="A34">
        <v>16</v>
      </c>
      <c r="B34" s="12">
        <f t="shared" ca="1" si="0"/>
        <v>19</v>
      </c>
      <c r="C34" s="12">
        <f t="shared" ca="1" si="1"/>
        <v>20</v>
      </c>
      <c r="D34" s="12">
        <f t="shared" ca="1" si="2"/>
        <v>16</v>
      </c>
      <c r="E34" s="7" t="str">
        <f t="shared" ca="1" si="3"/>
        <v>Bispemosevej</v>
      </c>
      <c r="F34" s="9" t="str">
        <f t="shared" ca="1" si="4"/>
        <v>Dobbeltrettet cykelsti</v>
      </c>
      <c r="G34" s="8">
        <f t="shared" ca="1" si="5"/>
        <v>6.5662500000000001</v>
      </c>
      <c r="H34" s="10">
        <f t="shared" ca="1" si="6"/>
        <v>0.4</v>
      </c>
      <c r="I34" s="10">
        <f t="shared" ca="1" si="7"/>
        <v>0.30000000000000004</v>
      </c>
      <c r="J34" s="10">
        <f t="shared" ca="1" si="8"/>
        <v>0.70000000000000007</v>
      </c>
      <c r="K34" s="10">
        <f t="shared" ca="1" si="9"/>
        <v>1.4000000000000001</v>
      </c>
      <c r="L34" s="22">
        <f t="shared" ca="1" si="10"/>
        <v>3</v>
      </c>
      <c r="M34" s="11">
        <f t="shared" ca="1" si="11"/>
        <v>0.21321149819150964</v>
      </c>
    </row>
    <row r="35" spans="1:13" x14ac:dyDescent="0.25">
      <c r="A35">
        <v>52</v>
      </c>
      <c r="B35" s="12">
        <f t="shared" ca="1" si="0"/>
        <v>20</v>
      </c>
      <c r="C35" s="12">
        <f t="shared" ca="1" si="1"/>
        <v>22</v>
      </c>
      <c r="D35" s="12">
        <f t="shared" ca="1" si="2"/>
        <v>52</v>
      </c>
      <c r="E35" s="7" t="str">
        <f t="shared" ca="1" si="3"/>
        <v>Drasbeksgade (Kapelvej-Nødager)</v>
      </c>
      <c r="F35" s="9" t="str">
        <f t="shared" ca="1" si="4"/>
        <v>Enkeltrettede stier langs vej</v>
      </c>
      <c r="G35" s="8">
        <f t="shared" ca="1" si="5"/>
        <v>6.7593750000000004</v>
      </c>
      <c r="H35" s="10">
        <f t="shared" ca="1" si="6"/>
        <v>0.4</v>
      </c>
      <c r="I35" s="10">
        <f t="shared" ca="1" si="7"/>
        <v>0.4</v>
      </c>
      <c r="J35" s="10">
        <f t="shared" ca="1" si="8"/>
        <v>0.55000000000000004</v>
      </c>
      <c r="K35" s="10">
        <f t="shared" ca="1" si="9"/>
        <v>1.35</v>
      </c>
      <c r="L35" s="22">
        <f t="shared" ca="1" si="10"/>
        <v>3</v>
      </c>
      <c r="M35" s="11">
        <f t="shared" ca="1" si="11"/>
        <v>0.19972260748959778</v>
      </c>
    </row>
    <row r="36" spans="1:13" x14ac:dyDescent="0.25">
      <c r="A36">
        <v>55</v>
      </c>
      <c r="B36" s="12">
        <f t="shared" ca="1" si="0"/>
        <v>3</v>
      </c>
      <c r="C36" s="12">
        <f t="shared" ca="1" si="1"/>
        <v>23</v>
      </c>
      <c r="D36" s="12">
        <f t="shared" ca="1" si="2"/>
        <v>55</v>
      </c>
      <c r="E36" s="7" t="str">
        <f t="shared" ca="1" si="3"/>
        <v>Ryomgård - nv for skolen</v>
      </c>
      <c r="F36" s="9" t="str">
        <f t="shared" ca="1" si="4"/>
        <v>Dobbeltrettet cykelsti</v>
      </c>
      <c r="G36" s="8">
        <f t="shared" ca="1" si="5"/>
        <v>1.5449999999999999</v>
      </c>
      <c r="H36" s="10">
        <f t="shared" ca="1" si="6"/>
        <v>0</v>
      </c>
      <c r="I36" s="10">
        <f t="shared" ca="1" si="7"/>
        <v>0.30000000000000004</v>
      </c>
      <c r="J36" s="10">
        <f t="shared" ca="1" si="8"/>
        <v>1</v>
      </c>
      <c r="K36" s="10">
        <f t="shared" ca="1" si="9"/>
        <v>1.3</v>
      </c>
      <c r="L36" s="22">
        <f t="shared" ca="1" si="10"/>
        <v>2</v>
      </c>
      <c r="M36" s="11">
        <f t="shared" ca="1" si="11"/>
        <v>0.84142394822006483</v>
      </c>
    </row>
    <row r="37" spans="1:13" x14ac:dyDescent="0.25">
      <c r="A37">
        <v>15</v>
      </c>
      <c r="B37" s="12">
        <f t="shared" ca="1" si="0"/>
        <v>6</v>
      </c>
      <c r="C37" s="12">
        <f t="shared" ca="1" si="1"/>
        <v>24</v>
      </c>
      <c r="D37" s="12">
        <f t="shared" ca="1" si="2"/>
        <v>15</v>
      </c>
      <c r="E37" s="7" t="str">
        <f t="shared" ca="1" si="3"/>
        <v>Søndervang-Østergade</v>
      </c>
      <c r="F37" s="9" t="str">
        <f t="shared" ca="1" si="4"/>
        <v>Specialløsning</v>
      </c>
      <c r="G37" s="8">
        <f t="shared" ca="1" si="5"/>
        <v>1.969875</v>
      </c>
      <c r="H37" s="10">
        <f t="shared" ca="1" si="6"/>
        <v>0.2</v>
      </c>
      <c r="I37" s="10">
        <f t="shared" ca="1" si="7"/>
        <v>0.2</v>
      </c>
      <c r="J37" s="10">
        <f t="shared" ca="1" si="8"/>
        <v>0.85000000000000009</v>
      </c>
      <c r="K37" s="10">
        <f t="shared" ca="1" si="9"/>
        <v>1.25</v>
      </c>
      <c r="L37" s="22">
        <f t="shared" ca="1" si="10"/>
        <v>2</v>
      </c>
      <c r="M37" s="11">
        <f t="shared" ca="1" si="11"/>
        <v>0.63455803033187386</v>
      </c>
    </row>
    <row r="38" spans="1:13" x14ac:dyDescent="0.25">
      <c r="A38">
        <v>23</v>
      </c>
      <c r="B38" s="12">
        <f t="shared" ca="1" si="0"/>
        <v>38</v>
      </c>
      <c r="C38" s="12">
        <f t="shared" ca="1" si="1"/>
        <v>24</v>
      </c>
      <c r="D38" s="12">
        <f t="shared" ca="1" si="2"/>
        <v>23</v>
      </c>
      <c r="E38" s="7" t="str">
        <f t="shared" ca="1" si="3"/>
        <v>Elsegårdevej</v>
      </c>
      <c r="F38" s="9" t="str">
        <f t="shared" ca="1" si="4"/>
        <v>Dobbeltrettet cykelsti</v>
      </c>
      <c r="G38" s="8">
        <f t="shared" ca="1" si="5"/>
        <v>12.926500000000001</v>
      </c>
      <c r="H38" s="10">
        <f t="shared" ca="1" si="6"/>
        <v>0.4</v>
      </c>
      <c r="I38" s="10">
        <f t="shared" ca="1" si="7"/>
        <v>0.30000000000000004</v>
      </c>
      <c r="J38" s="10">
        <f t="shared" ca="1" si="8"/>
        <v>0.55000000000000004</v>
      </c>
      <c r="K38" s="10">
        <f t="shared" ca="1" si="9"/>
        <v>1.25</v>
      </c>
      <c r="L38" s="22">
        <f t="shared" ca="1" si="10"/>
        <v>2</v>
      </c>
      <c r="M38" s="11">
        <f t="shared" ca="1" si="11"/>
        <v>9.6700576335434954E-2</v>
      </c>
    </row>
    <row r="39" spans="1:13" x14ac:dyDescent="0.25">
      <c r="A39">
        <v>6</v>
      </c>
      <c r="B39" s="12">
        <f t="shared" ca="1" si="0"/>
        <v>41</v>
      </c>
      <c r="C39" s="12">
        <f t="shared" ca="1" si="1"/>
        <v>24</v>
      </c>
      <c r="D39" s="12">
        <f t="shared" ca="1" si="2"/>
        <v>6</v>
      </c>
      <c r="E39" s="7" t="str">
        <f t="shared" ca="1" si="3"/>
        <v>Ryomvej</v>
      </c>
      <c r="F39" s="9" t="str">
        <f t="shared" ca="1" si="4"/>
        <v>Dobbeltrettet cykelsti</v>
      </c>
      <c r="G39" s="8">
        <f t="shared" ca="1" si="5"/>
        <v>14.922124999999999</v>
      </c>
      <c r="H39" s="10">
        <f t="shared" ca="1" si="6"/>
        <v>0.5</v>
      </c>
      <c r="I39" s="10">
        <f t="shared" ca="1" si="7"/>
        <v>0.2</v>
      </c>
      <c r="J39" s="10">
        <f t="shared" ca="1" si="8"/>
        <v>0.55000000000000004</v>
      </c>
      <c r="K39" s="10">
        <f t="shared" ca="1" si="9"/>
        <v>1.25</v>
      </c>
      <c r="L39" s="22">
        <f t="shared" ca="1" si="10"/>
        <v>2</v>
      </c>
      <c r="M39" s="11">
        <f t="shared" ca="1" si="11"/>
        <v>8.3768230061067039E-2</v>
      </c>
    </row>
    <row r="40" spans="1:13" x14ac:dyDescent="0.25">
      <c r="A40">
        <v>45</v>
      </c>
      <c r="B40" s="12">
        <f t="shared" ca="1" si="0"/>
        <v>1</v>
      </c>
      <c r="C40" s="12">
        <f t="shared" ca="1" si="1"/>
        <v>27</v>
      </c>
      <c r="D40" s="12">
        <f t="shared" ca="1" si="2"/>
        <v>45</v>
      </c>
      <c r="E40" s="7" t="str">
        <f t="shared" ca="1" si="3"/>
        <v>Hornslet - Tingvej</v>
      </c>
      <c r="F40" s="9" t="str">
        <f t="shared" ca="1" si="4"/>
        <v>2 minus 1 vej</v>
      </c>
      <c r="G40" s="8">
        <f t="shared" ca="1" si="5"/>
        <v>0.53</v>
      </c>
      <c r="H40" s="10">
        <f t="shared" ca="1" si="6"/>
        <v>0.25</v>
      </c>
      <c r="I40" s="10">
        <f t="shared" ca="1" si="7"/>
        <v>0.1</v>
      </c>
      <c r="J40" s="10">
        <f t="shared" ca="1" si="8"/>
        <v>0.85000000000000009</v>
      </c>
      <c r="K40" s="10">
        <f t="shared" ca="1" si="9"/>
        <v>1.2000000000000002</v>
      </c>
      <c r="L40" s="22">
        <f t="shared" ca="1" si="10"/>
        <v>2</v>
      </c>
      <c r="M40" s="11">
        <f t="shared" ca="1" si="11"/>
        <v>2.2641509433962268</v>
      </c>
    </row>
    <row r="41" spans="1:13" x14ac:dyDescent="0.25">
      <c r="A41">
        <v>28</v>
      </c>
      <c r="B41" s="12">
        <f t="shared" ca="1" si="0"/>
        <v>32</v>
      </c>
      <c r="C41" s="12">
        <f t="shared" ca="1" si="1"/>
        <v>27</v>
      </c>
      <c r="D41" s="12">
        <f t="shared" ca="1" si="2"/>
        <v>28</v>
      </c>
      <c r="E41" s="7" t="str">
        <f t="shared" ca="1" si="3"/>
        <v>Asgilhøjevej</v>
      </c>
      <c r="F41" s="9" t="str">
        <f t="shared" ca="1" si="4"/>
        <v>Dobbeltrettet cykelsti</v>
      </c>
      <c r="G41" s="8">
        <f t="shared" ca="1" si="5"/>
        <v>10.171250000000001</v>
      </c>
      <c r="H41" s="10">
        <f t="shared" ca="1" si="6"/>
        <v>0.45000000000000007</v>
      </c>
      <c r="I41" s="10">
        <f t="shared" ca="1" si="7"/>
        <v>0.30000000000000004</v>
      </c>
      <c r="J41" s="10">
        <f t="shared" ca="1" si="8"/>
        <v>0.45</v>
      </c>
      <c r="K41" s="10">
        <f t="shared" ca="1" si="9"/>
        <v>1.2000000000000002</v>
      </c>
      <c r="L41" s="22">
        <f t="shared" ca="1" si="10"/>
        <v>2</v>
      </c>
      <c r="M41" s="11">
        <f t="shared" ca="1" si="11"/>
        <v>0.11797959936094385</v>
      </c>
    </row>
    <row r="42" spans="1:13" x14ac:dyDescent="0.25">
      <c r="A42">
        <v>24</v>
      </c>
      <c r="B42" s="12">
        <f t="shared" ca="1" si="0"/>
        <v>37</v>
      </c>
      <c r="C42" s="12">
        <f t="shared" ca="1" si="1"/>
        <v>27</v>
      </c>
      <c r="D42" s="12">
        <f t="shared" ca="1" si="2"/>
        <v>24</v>
      </c>
      <c r="E42" s="7" t="str">
        <f t="shared" ca="1" si="3"/>
        <v>Skørhus Skovvej-øksenmølle</v>
      </c>
      <c r="F42" s="9" t="str">
        <f t="shared" ca="1" si="4"/>
        <v>Dobbeltrettet cykelsti</v>
      </c>
      <c r="G42" s="8">
        <f t="shared" ca="1" si="5"/>
        <v>12.334250000000001</v>
      </c>
      <c r="H42" s="10">
        <f t="shared" ca="1" si="6"/>
        <v>0.75</v>
      </c>
      <c r="I42" s="10">
        <f t="shared" ca="1" si="7"/>
        <v>0.30000000000000004</v>
      </c>
      <c r="J42" s="10">
        <f t="shared" ca="1" si="8"/>
        <v>0.15000000000000002</v>
      </c>
      <c r="K42" s="10">
        <f t="shared" ca="1" si="9"/>
        <v>1.2000000000000002</v>
      </c>
      <c r="L42" s="22">
        <f t="shared" ca="1" si="10"/>
        <v>2</v>
      </c>
      <c r="M42" s="11">
        <f t="shared" ca="1" si="11"/>
        <v>9.7290066278857654E-2</v>
      </c>
    </row>
    <row r="43" spans="1:13" x14ac:dyDescent="0.25">
      <c r="A43">
        <v>27</v>
      </c>
      <c r="B43" s="12">
        <f t="shared" ca="1" si="0"/>
        <v>27</v>
      </c>
      <c r="C43" s="12">
        <f t="shared" ca="1" si="1"/>
        <v>30</v>
      </c>
      <c r="D43" s="12">
        <f t="shared" ca="1" si="2"/>
        <v>27</v>
      </c>
      <c r="E43" s="7" t="str">
        <f t="shared" ca="1" si="3"/>
        <v>Stubbesøvej</v>
      </c>
      <c r="F43" s="9" t="str">
        <f t="shared" ca="1" si="4"/>
        <v>Dobbeltrettet cykelsti</v>
      </c>
      <c r="G43" s="8">
        <f t="shared" ca="1" si="5"/>
        <v>8.6262500000000006</v>
      </c>
      <c r="H43" s="10">
        <f t="shared" ca="1" si="6"/>
        <v>0.55000000000000004</v>
      </c>
      <c r="I43" s="10">
        <f t="shared" ca="1" si="7"/>
        <v>0.2</v>
      </c>
      <c r="J43" s="10">
        <f t="shared" ca="1" si="8"/>
        <v>0.45</v>
      </c>
      <c r="K43" s="10">
        <f t="shared" ca="1" si="9"/>
        <v>1.2</v>
      </c>
      <c r="L43" s="22">
        <f t="shared" ca="1" si="10"/>
        <v>2</v>
      </c>
      <c r="M43" s="11">
        <f t="shared" ca="1" si="11"/>
        <v>0.13911027387335168</v>
      </c>
    </row>
    <row r="44" spans="1:13" x14ac:dyDescent="0.25">
      <c r="A44">
        <v>30</v>
      </c>
      <c r="B44" s="12">
        <f t="shared" ca="1" si="0"/>
        <v>21</v>
      </c>
      <c r="C44" s="12">
        <f t="shared" ca="1" si="1"/>
        <v>31</v>
      </c>
      <c r="D44" s="12">
        <f t="shared" ca="1" si="2"/>
        <v>30</v>
      </c>
      <c r="E44" s="7" t="str">
        <f t="shared" ca="1" si="3"/>
        <v>Kirkebjergvej</v>
      </c>
      <c r="F44" s="9" t="str">
        <f t="shared" ca="1" si="4"/>
        <v>Dobbeltrettet cykelsti</v>
      </c>
      <c r="G44" s="8">
        <f t="shared" ca="1" si="5"/>
        <v>6.6692499999999999</v>
      </c>
      <c r="H44" s="10">
        <f t="shared" ca="1" si="6"/>
        <v>0.45000000000000007</v>
      </c>
      <c r="I44" s="10">
        <f t="shared" ca="1" si="7"/>
        <v>0.30000000000000004</v>
      </c>
      <c r="J44" s="10">
        <f t="shared" ca="1" si="8"/>
        <v>0.4</v>
      </c>
      <c r="K44" s="10">
        <f t="shared" ca="1" si="9"/>
        <v>1.1500000000000001</v>
      </c>
      <c r="L44" s="22">
        <f t="shared" ca="1" si="10"/>
        <v>2</v>
      </c>
      <c r="M44" s="11">
        <f t="shared" ca="1" si="11"/>
        <v>0.17243318214192002</v>
      </c>
    </row>
    <row r="45" spans="1:13" x14ac:dyDescent="0.25">
      <c r="A45">
        <v>42</v>
      </c>
      <c r="B45" s="12">
        <f t="shared" ca="1" si="0"/>
        <v>7</v>
      </c>
      <c r="C45" s="12">
        <f t="shared" ca="1" si="1"/>
        <v>32</v>
      </c>
      <c r="D45" s="12">
        <f t="shared" ca="1" si="2"/>
        <v>42</v>
      </c>
      <c r="E45" s="7" t="str">
        <f t="shared" ca="1" si="3"/>
        <v>Thorsagervej ml. Skolevej og Ebeltoftvej</v>
      </c>
      <c r="F45" s="9" t="str">
        <f t="shared" ca="1" si="4"/>
        <v>Enkeltrettede cykelstier</v>
      </c>
      <c r="G45" s="8">
        <f t="shared" ca="1" si="5"/>
        <v>1.8540000000000001</v>
      </c>
      <c r="H45" s="10">
        <f t="shared" ca="1" si="6"/>
        <v>0.2</v>
      </c>
      <c r="I45" s="10">
        <f t="shared" ca="1" si="7"/>
        <v>0.5</v>
      </c>
      <c r="J45" s="10">
        <f t="shared" ca="1" si="8"/>
        <v>0.4</v>
      </c>
      <c r="K45" s="10">
        <f t="shared" ca="1" si="9"/>
        <v>1.1000000000000001</v>
      </c>
      <c r="L45" s="22">
        <f t="shared" ca="1" si="10"/>
        <v>2</v>
      </c>
      <c r="M45" s="11">
        <f t="shared" ca="1" si="11"/>
        <v>0.59331175836030203</v>
      </c>
    </row>
    <row r="46" spans="1:13" x14ac:dyDescent="0.25">
      <c r="A46">
        <v>17</v>
      </c>
      <c r="B46" s="12">
        <f t="shared" ref="B46:B63" ca="1" si="12">IFERROR(RANK(M46,$M$14:$M$164,0),"")</f>
        <v>24</v>
      </c>
      <c r="C46" s="12">
        <f t="shared" ref="C46:C63" ca="1" si="13">IFERROR(RANK(K46,$K$14:$K$164,0),"")</f>
        <v>32</v>
      </c>
      <c r="D46" s="12">
        <f t="shared" ref="D46:D63" ca="1" si="14">IFERROR(INDIRECT("'"&amp;$A46&amp;"'!B4"),"")</f>
        <v>17</v>
      </c>
      <c r="E46" s="7" t="str">
        <f t="shared" ref="E46:E63" ca="1" si="15">IFERROR(INDIRECT("'"&amp;$A46&amp;"'!B6"),"")</f>
        <v>Stenledvej</v>
      </c>
      <c r="F46" s="9" t="str">
        <f t="shared" ref="F46:F63" ca="1" si="16">IFERROR(INDIRECT("'"&amp;$A46&amp;"'!B7"),"")</f>
        <v>Dobbeltrettet cykelsti</v>
      </c>
      <c r="G46" s="8">
        <f t="shared" ref="G46:G63" ca="1" si="17">IFERROR(INDIRECT("'"&amp;$A46&amp;"'!b9"),"")</f>
        <v>6.9524999999999997</v>
      </c>
      <c r="H46" s="10">
        <f t="shared" ref="H46:H63" ca="1" si="18">IFERROR(INDIRECT("'"&amp;$A46&amp;"'!E9"),"")</f>
        <v>0.4</v>
      </c>
      <c r="I46" s="10">
        <f t="shared" ref="I46:I63" ca="1" si="19">IFERROR(INDIRECT("'"&amp;$A46&amp;"'!E10"),"")</f>
        <v>0.2</v>
      </c>
      <c r="J46" s="10">
        <f t="shared" ref="J46:J63" ca="1" si="20">IFERROR(INDIRECT("'"&amp;$A46&amp;"'!E11"),"")</f>
        <v>0.5</v>
      </c>
      <c r="K46" s="10">
        <f t="shared" ref="K46:K63" ca="1" si="21">IFERROR(INDIRECT("'"&amp;$A46&amp;"'!E4"),"")</f>
        <v>1.1000000000000001</v>
      </c>
      <c r="L46" s="22">
        <f t="shared" ref="L46:L63" ca="1" si="22">IFERROR(INDIRECT("'"&amp;$A46&amp;"'!E6"),"")</f>
        <v>2</v>
      </c>
      <c r="M46" s="11">
        <f t="shared" ref="M46:M63" ca="1" si="23">IFERROR(INDIRECT("'"&amp;$A46&amp;"'!E5"),"")</f>
        <v>0.15821646889608057</v>
      </c>
    </row>
    <row r="47" spans="1:13" x14ac:dyDescent="0.25">
      <c r="A47">
        <v>3</v>
      </c>
      <c r="B47" s="12">
        <f t="shared" ca="1" si="12"/>
        <v>46</v>
      </c>
      <c r="C47" s="12">
        <f t="shared" ca="1" si="13"/>
        <v>32</v>
      </c>
      <c r="D47" s="12">
        <f t="shared" ca="1" si="14"/>
        <v>3</v>
      </c>
      <c r="E47" s="7" t="str">
        <f t="shared" ca="1" si="15"/>
        <v>Auningvej</v>
      </c>
      <c r="F47" s="9" t="str">
        <f t="shared" ca="1" si="16"/>
        <v>Dobbeltrettet cykelsti</v>
      </c>
      <c r="G47" s="8">
        <f t="shared" ca="1" si="17"/>
        <v>21.063500000000001</v>
      </c>
      <c r="H47" s="10">
        <f t="shared" ca="1" si="18"/>
        <v>0.70000000000000007</v>
      </c>
      <c r="I47" s="10">
        <f t="shared" ca="1" si="19"/>
        <v>0.30000000000000004</v>
      </c>
      <c r="J47" s="10">
        <f t="shared" ca="1" si="20"/>
        <v>0.1</v>
      </c>
      <c r="K47" s="10">
        <f t="shared" ca="1" si="21"/>
        <v>1.1000000000000001</v>
      </c>
      <c r="L47" s="22">
        <f t="shared" ca="1" si="22"/>
        <v>2</v>
      </c>
      <c r="M47" s="11">
        <f t="shared" ca="1" si="23"/>
        <v>5.2223039855674509E-2</v>
      </c>
    </row>
    <row r="48" spans="1:13" x14ac:dyDescent="0.25">
      <c r="A48">
        <v>22</v>
      </c>
      <c r="B48" s="12">
        <f t="shared" ca="1" si="12"/>
        <v>16</v>
      </c>
      <c r="C48" s="12">
        <f t="shared" ca="1" si="13"/>
        <v>35</v>
      </c>
      <c r="D48" s="12">
        <f t="shared" ca="1" si="14"/>
        <v>22</v>
      </c>
      <c r="E48" s="7" t="str">
        <f t="shared" ca="1" si="15"/>
        <v>Søkjersvej</v>
      </c>
      <c r="F48" s="9" t="str">
        <f t="shared" ca="1" si="16"/>
        <v>Dobbeltrettet cykelsti</v>
      </c>
      <c r="G48" s="8">
        <f t="shared" ca="1" si="17"/>
        <v>3.8624999999999998</v>
      </c>
      <c r="H48" s="10">
        <f t="shared" ca="1" si="18"/>
        <v>0.35000000000000003</v>
      </c>
      <c r="I48" s="10">
        <f t="shared" ca="1" si="19"/>
        <v>0.30000000000000004</v>
      </c>
      <c r="J48" s="10">
        <f t="shared" ca="1" si="20"/>
        <v>0.35000000000000003</v>
      </c>
      <c r="K48" s="10">
        <f t="shared" ca="1" si="21"/>
        <v>1.0000000000000002</v>
      </c>
      <c r="L48" s="22">
        <f t="shared" ca="1" si="22"/>
        <v>2</v>
      </c>
      <c r="M48" s="11">
        <f t="shared" ca="1" si="23"/>
        <v>0.25889967637540462</v>
      </c>
    </row>
    <row r="49" spans="1:13" x14ac:dyDescent="0.25">
      <c r="A49">
        <v>46</v>
      </c>
      <c r="B49" s="12">
        <f t="shared" ca="1" si="12"/>
        <v>4</v>
      </c>
      <c r="C49" s="12">
        <f t="shared" ca="1" si="13"/>
        <v>36</v>
      </c>
      <c r="D49" s="12">
        <f t="shared" ca="1" si="14"/>
        <v>46</v>
      </c>
      <c r="E49" s="7" t="str">
        <f t="shared" ca="1" si="15"/>
        <v>Frederiks Allé</v>
      </c>
      <c r="F49" s="9" t="str">
        <f t="shared" ca="1" si="16"/>
        <v>Modstrømscykelsti</v>
      </c>
      <c r="G49" s="8">
        <f t="shared" ca="1" si="17"/>
        <v>1.2617499999999999</v>
      </c>
      <c r="H49" s="10">
        <f t="shared" ca="1" si="18"/>
        <v>0.25</v>
      </c>
      <c r="I49" s="10">
        <f t="shared" ca="1" si="19"/>
        <v>0.2</v>
      </c>
      <c r="J49" s="10">
        <f t="shared" ca="1" si="20"/>
        <v>0.55000000000000004</v>
      </c>
      <c r="K49" s="10">
        <f t="shared" ca="1" si="21"/>
        <v>1</v>
      </c>
      <c r="L49" s="22">
        <f t="shared" ca="1" si="22"/>
        <v>2</v>
      </c>
      <c r="M49" s="11">
        <f t="shared" ca="1" si="23"/>
        <v>0.79255002972062616</v>
      </c>
    </row>
    <row r="50" spans="1:13" x14ac:dyDescent="0.25">
      <c r="A50">
        <v>26</v>
      </c>
      <c r="B50" s="12">
        <f t="shared" ca="1" si="12"/>
        <v>15</v>
      </c>
      <c r="C50" s="12">
        <f t="shared" ca="1" si="13"/>
        <v>36</v>
      </c>
      <c r="D50" s="12">
        <f t="shared" ca="1" si="14"/>
        <v>26</v>
      </c>
      <c r="E50" s="7" t="str">
        <f t="shared" ca="1" si="15"/>
        <v>Møllebækvej</v>
      </c>
      <c r="F50" s="9" t="str">
        <f t="shared" ca="1" si="16"/>
        <v>Dobbeltrettet cykelsti</v>
      </c>
      <c r="G50" s="8">
        <f t="shared" ca="1" si="17"/>
        <v>3.7981250000000002</v>
      </c>
      <c r="H50" s="10">
        <f t="shared" ca="1" si="18"/>
        <v>0.45</v>
      </c>
      <c r="I50" s="10">
        <f t="shared" ca="1" si="19"/>
        <v>0.1</v>
      </c>
      <c r="J50" s="10">
        <f t="shared" ca="1" si="20"/>
        <v>0.45</v>
      </c>
      <c r="K50" s="10">
        <f t="shared" ca="1" si="21"/>
        <v>1</v>
      </c>
      <c r="L50" s="22">
        <f t="shared" ca="1" si="22"/>
        <v>2</v>
      </c>
      <c r="M50" s="11">
        <f t="shared" ca="1" si="23"/>
        <v>0.26328780648346223</v>
      </c>
    </row>
    <row r="51" spans="1:13" x14ac:dyDescent="0.25">
      <c r="A51">
        <v>20</v>
      </c>
      <c r="B51" s="12">
        <f t="shared" ca="1" si="12"/>
        <v>25</v>
      </c>
      <c r="C51" s="12">
        <f t="shared" ca="1" si="13"/>
        <v>38</v>
      </c>
      <c r="D51" s="12">
        <f t="shared" ca="1" si="14"/>
        <v>20</v>
      </c>
      <c r="E51" s="7" t="str">
        <f t="shared" ca="1" si="15"/>
        <v>Hovdigevej</v>
      </c>
      <c r="F51" s="9" t="str">
        <f t="shared" ca="1" si="16"/>
        <v>Dobbeltrettet cykelsti</v>
      </c>
      <c r="G51" s="8">
        <f t="shared" ca="1" si="17"/>
        <v>6.3087499999999999</v>
      </c>
      <c r="H51" s="10">
        <f t="shared" ca="1" si="18"/>
        <v>0.4</v>
      </c>
      <c r="I51" s="10">
        <f t="shared" ca="1" si="19"/>
        <v>0.2</v>
      </c>
      <c r="J51" s="10">
        <f t="shared" ca="1" si="20"/>
        <v>0.35000000000000003</v>
      </c>
      <c r="K51" s="10">
        <f t="shared" ca="1" si="21"/>
        <v>0.95000000000000018</v>
      </c>
      <c r="L51" s="22">
        <f t="shared" ca="1" si="22"/>
        <v>2</v>
      </c>
      <c r="M51" s="11">
        <f t="shared" ca="1" si="23"/>
        <v>0.150584505646919</v>
      </c>
    </row>
    <row r="52" spans="1:13" x14ac:dyDescent="0.25">
      <c r="A52">
        <v>18</v>
      </c>
      <c r="B52" s="12">
        <f t="shared" ca="1" si="12"/>
        <v>43</v>
      </c>
      <c r="C52" s="12">
        <f t="shared" ca="1" si="13"/>
        <v>39</v>
      </c>
      <c r="D52" s="12">
        <f t="shared" ca="1" si="14"/>
        <v>18</v>
      </c>
      <c r="E52" s="7" t="str">
        <f t="shared" ca="1" si="15"/>
        <v>Stenledvej-Havmøllevej</v>
      </c>
      <c r="F52" s="9" t="str">
        <f t="shared" ca="1" si="16"/>
        <v>Dobbeltrettet cykelsti</v>
      </c>
      <c r="G52" s="8">
        <f t="shared" ca="1" si="17"/>
        <v>11.20125</v>
      </c>
      <c r="H52" s="10">
        <f t="shared" ca="1" si="18"/>
        <v>0.55000000000000004</v>
      </c>
      <c r="I52" s="10">
        <f t="shared" ca="1" si="19"/>
        <v>0.2</v>
      </c>
      <c r="J52" s="10">
        <f t="shared" ca="1" si="20"/>
        <v>0.15000000000000002</v>
      </c>
      <c r="K52" s="10">
        <f t="shared" ca="1" si="21"/>
        <v>0.9</v>
      </c>
      <c r="L52" s="22">
        <f t="shared" ca="1" si="22"/>
        <v>2</v>
      </c>
      <c r="M52" s="11">
        <f t="shared" ca="1" si="23"/>
        <v>8.0348175426849688E-2</v>
      </c>
    </row>
    <row r="53" spans="1:13" x14ac:dyDescent="0.25">
      <c r="A53">
        <v>19</v>
      </c>
      <c r="B53" s="12">
        <f t="shared" ca="1" si="12"/>
        <v>47</v>
      </c>
      <c r="C53" s="12">
        <f t="shared" ca="1" si="13"/>
        <v>39</v>
      </c>
      <c r="D53" s="12">
        <f t="shared" ca="1" si="14"/>
        <v>19</v>
      </c>
      <c r="E53" s="7" t="str">
        <f t="shared" ca="1" si="15"/>
        <v>Havmøllevej-Hovdigevej</v>
      </c>
      <c r="F53" s="9" t="str">
        <f t="shared" ca="1" si="16"/>
        <v>Dobbeltrettet cykelsti</v>
      </c>
      <c r="G53" s="8">
        <f t="shared" ca="1" si="17"/>
        <v>17.381250000000001</v>
      </c>
      <c r="H53" s="10">
        <f t="shared" ca="1" si="18"/>
        <v>0.55000000000000004</v>
      </c>
      <c r="I53" s="10">
        <f t="shared" ca="1" si="19"/>
        <v>0.2</v>
      </c>
      <c r="J53" s="10">
        <f t="shared" ca="1" si="20"/>
        <v>0.15000000000000002</v>
      </c>
      <c r="K53" s="10">
        <f t="shared" ca="1" si="21"/>
        <v>0.9</v>
      </c>
      <c r="L53" s="22">
        <f t="shared" ca="1" si="22"/>
        <v>2</v>
      </c>
      <c r="M53" s="11">
        <f t="shared" ca="1" si="23"/>
        <v>5.1779935275080902E-2</v>
      </c>
    </row>
    <row r="54" spans="1:13" x14ac:dyDescent="0.25">
      <c r="A54">
        <v>53</v>
      </c>
      <c r="B54" s="12">
        <f t="shared" ca="1" si="12"/>
        <v>9</v>
      </c>
      <c r="C54" s="12">
        <f t="shared" ca="1" si="13"/>
        <v>41</v>
      </c>
      <c r="D54" s="12">
        <f t="shared" ca="1" si="14"/>
        <v>53</v>
      </c>
      <c r="E54" s="7" t="str">
        <f t="shared" ca="1" si="15"/>
        <v>Kaløvej - Rønde</v>
      </c>
      <c r="F54" s="9" t="str">
        <f t="shared" ca="1" si="16"/>
        <v>Sti af lokalvej</v>
      </c>
      <c r="G54" s="8">
        <f t="shared" ca="1" si="17"/>
        <v>1.7381249999999999</v>
      </c>
      <c r="H54" s="10">
        <f t="shared" ca="1" si="18"/>
        <v>0.2</v>
      </c>
      <c r="I54" s="10">
        <f t="shared" ca="1" si="19"/>
        <v>0.5</v>
      </c>
      <c r="J54" s="10">
        <f t="shared" ca="1" si="20"/>
        <v>0.2</v>
      </c>
      <c r="K54" s="10">
        <f t="shared" ca="1" si="21"/>
        <v>0.89999999999999991</v>
      </c>
      <c r="L54" s="22">
        <f t="shared" ca="1" si="22"/>
        <v>2</v>
      </c>
      <c r="M54" s="11">
        <f t="shared" ca="1" si="23"/>
        <v>0.51779935275080902</v>
      </c>
    </row>
    <row r="55" spans="1:13" x14ac:dyDescent="0.25">
      <c r="A55">
        <v>8</v>
      </c>
      <c r="B55" s="12">
        <f t="shared" ca="1" si="12"/>
        <v>26</v>
      </c>
      <c r="C55" s="12">
        <f t="shared" ca="1" si="13"/>
        <v>42</v>
      </c>
      <c r="D55" s="12">
        <f t="shared" ca="1" si="14"/>
        <v>8</v>
      </c>
      <c r="E55" s="7" t="str">
        <f t="shared" ca="1" si="15"/>
        <v>Ønbjergvej</v>
      </c>
      <c r="F55" s="9" t="str">
        <f t="shared" ca="1" si="16"/>
        <v>Dobbeltrettet fællessti</v>
      </c>
      <c r="G55" s="8">
        <f t="shared" ca="1" si="17"/>
        <v>5.7937500000000002</v>
      </c>
      <c r="H55" s="10">
        <f t="shared" ca="1" si="18"/>
        <v>0.4</v>
      </c>
      <c r="I55" s="10">
        <f t="shared" ca="1" si="19"/>
        <v>0.30000000000000004</v>
      </c>
      <c r="J55" s="10">
        <f t="shared" ca="1" si="20"/>
        <v>0.15000000000000002</v>
      </c>
      <c r="K55" s="10">
        <f t="shared" ca="1" si="21"/>
        <v>0.85000000000000009</v>
      </c>
      <c r="L55" s="22">
        <f t="shared" ca="1" si="22"/>
        <v>2</v>
      </c>
      <c r="M55" s="11">
        <f t="shared" ca="1" si="23"/>
        <v>0.14670981661272925</v>
      </c>
    </row>
    <row r="56" spans="1:13" x14ac:dyDescent="0.25">
      <c r="A56">
        <v>33</v>
      </c>
      <c r="B56" s="12">
        <f t="shared" ca="1" si="12"/>
        <v>28</v>
      </c>
      <c r="C56" s="12">
        <f t="shared" ca="1" si="13"/>
        <v>42</v>
      </c>
      <c r="D56" s="12">
        <f t="shared" ca="1" si="14"/>
        <v>33</v>
      </c>
      <c r="E56" s="7" t="str">
        <f t="shared" ca="1" si="15"/>
        <v>Demstrupvej (Hønebjergvej)</v>
      </c>
      <c r="F56" s="9" t="str">
        <f t="shared" ca="1" si="16"/>
        <v>Dobbelrettet fællessti</v>
      </c>
      <c r="G56" s="8">
        <f t="shared" ca="1" si="17"/>
        <v>6.18</v>
      </c>
      <c r="H56" s="10">
        <f t="shared" ca="1" si="18"/>
        <v>0.35</v>
      </c>
      <c r="I56" s="10">
        <f t="shared" ca="1" si="19"/>
        <v>0.2</v>
      </c>
      <c r="J56" s="10">
        <f t="shared" ca="1" si="20"/>
        <v>0.30000000000000004</v>
      </c>
      <c r="K56" s="10">
        <f t="shared" ca="1" si="21"/>
        <v>0.85000000000000009</v>
      </c>
      <c r="L56" s="22">
        <f t="shared" ca="1" si="22"/>
        <v>2</v>
      </c>
      <c r="M56" s="11">
        <f t="shared" ca="1" si="23"/>
        <v>0.13754045307443369</v>
      </c>
    </row>
    <row r="57" spans="1:13" x14ac:dyDescent="0.25">
      <c r="A57" s="17">
        <v>38</v>
      </c>
      <c r="B57" s="12">
        <f t="shared" ca="1" si="12"/>
        <v>31</v>
      </c>
      <c r="C57" s="12">
        <f t="shared" ca="1" si="13"/>
        <v>44</v>
      </c>
      <c r="D57" s="12">
        <f t="shared" ca="1" si="14"/>
        <v>38</v>
      </c>
      <c r="E57" s="7" t="str">
        <f t="shared" ca="1" si="15"/>
        <v>Grenåvej</v>
      </c>
      <c r="F57" s="9" t="str">
        <f t="shared" ca="1" si="16"/>
        <v>Dobbeltrettet cykelsti</v>
      </c>
      <c r="G57" s="8">
        <f t="shared" ca="1" si="17"/>
        <v>7.0812499999999998</v>
      </c>
      <c r="H57" s="10">
        <f t="shared" ca="1" si="18"/>
        <v>0.45</v>
      </c>
      <c r="I57" s="10">
        <f t="shared" ca="1" si="19"/>
        <v>0.30000000000000004</v>
      </c>
      <c r="J57" s="10">
        <f t="shared" ca="1" si="20"/>
        <v>0.1</v>
      </c>
      <c r="K57" s="10">
        <f t="shared" ca="1" si="21"/>
        <v>0.85</v>
      </c>
      <c r="L57" s="22">
        <f t="shared" ca="1" si="22"/>
        <v>2</v>
      </c>
      <c r="M57" s="11">
        <f t="shared" ca="1" si="23"/>
        <v>0.12003530450132392</v>
      </c>
    </row>
    <row r="58" spans="1:13" x14ac:dyDescent="0.25">
      <c r="A58">
        <v>49</v>
      </c>
      <c r="B58" s="12">
        <f t="shared" ca="1" si="12"/>
        <v>11</v>
      </c>
      <c r="C58" s="12">
        <f t="shared" ca="1" si="13"/>
        <v>45</v>
      </c>
      <c r="D58" s="12">
        <f t="shared" ca="1" si="14"/>
        <v>49</v>
      </c>
      <c r="E58" s="7" t="str">
        <f t="shared" ca="1" si="15"/>
        <v>Ebeltoft - Egedalsvej</v>
      </c>
      <c r="F58" s="9" t="str">
        <f t="shared" ca="1" si="16"/>
        <v>Dobbeltrettet fællessti</v>
      </c>
      <c r="G58" s="8">
        <f t="shared" ca="1" si="17"/>
        <v>2.0085000000000002</v>
      </c>
      <c r="H58" s="10">
        <f t="shared" ca="1" si="18"/>
        <v>0.2</v>
      </c>
      <c r="I58" s="10">
        <f t="shared" ca="1" si="19"/>
        <v>0.30000000000000004</v>
      </c>
      <c r="J58" s="10">
        <f t="shared" ca="1" si="20"/>
        <v>0.30000000000000004</v>
      </c>
      <c r="K58" s="10">
        <f t="shared" ca="1" si="21"/>
        <v>0.8</v>
      </c>
      <c r="L58" s="22">
        <f t="shared" ca="1" si="22"/>
        <v>2</v>
      </c>
      <c r="M58" s="11">
        <f t="shared" ca="1" si="23"/>
        <v>0.39830719442369927</v>
      </c>
    </row>
    <row r="59" spans="1:13" x14ac:dyDescent="0.25">
      <c r="A59">
        <v>43</v>
      </c>
      <c r="B59" s="12">
        <f t="shared" ca="1" si="12"/>
        <v>10</v>
      </c>
      <c r="C59" s="12">
        <f t="shared" ca="1" si="13"/>
        <v>46</v>
      </c>
      <c r="D59" s="12">
        <f t="shared" ca="1" si="14"/>
        <v>43</v>
      </c>
      <c r="E59" s="7" t="str">
        <f t="shared" ca="1" si="15"/>
        <v>Vestersøvej-Borupvej</v>
      </c>
      <c r="F59" s="9" t="str">
        <f t="shared" ca="1" si="16"/>
        <v>Dobbeltrettet cykelsti</v>
      </c>
      <c r="G59" s="8">
        <f t="shared" ca="1" si="17"/>
        <v>1.6608750000000001</v>
      </c>
      <c r="H59" s="10">
        <f t="shared" ca="1" si="18"/>
        <v>0.45000000000000007</v>
      </c>
      <c r="I59" s="10">
        <f t="shared" ca="1" si="19"/>
        <v>0.2</v>
      </c>
      <c r="J59" s="10">
        <f t="shared" ca="1" si="20"/>
        <v>0.1</v>
      </c>
      <c r="K59" s="10">
        <f t="shared" ca="1" si="21"/>
        <v>0.75000000000000011</v>
      </c>
      <c r="L59" s="22">
        <f t="shared" ca="1" si="22"/>
        <v>2</v>
      </c>
      <c r="M59" s="11">
        <f t="shared" ca="1" si="23"/>
        <v>0.4515692029803568</v>
      </c>
    </row>
    <row r="60" spans="1:13" x14ac:dyDescent="0.25">
      <c r="A60">
        <v>25</v>
      </c>
      <c r="B60" s="12">
        <f t="shared" ca="1" si="12"/>
        <v>45</v>
      </c>
      <c r="C60" s="12">
        <f t="shared" ca="1" si="13"/>
        <v>46</v>
      </c>
      <c r="D60" s="12">
        <f t="shared" ca="1" si="14"/>
        <v>25</v>
      </c>
      <c r="E60" s="7" t="str">
        <f t="shared" ca="1" si="15"/>
        <v>Øksenmøllevej-Bækkenvangen</v>
      </c>
      <c r="F60" s="9" t="str">
        <f t="shared" ca="1" si="16"/>
        <v>Dobbeltrettet cykelsti</v>
      </c>
      <c r="G60" s="8">
        <f t="shared" ca="1" si="17"/>
        <v>10.428750000000001</v>
      </c>
      <c r="H60" s="10">
        <f t="shared" ca="1" si="18"/>
        <v>0.4</v>
      </c>
      <c r="I60" s="10">
        <f t="shared" ca="1" si="19"/>
        <v>0.2</v>
      </c>
      <c r="J60" s="10">
        <f t="shared" ca="1" si="20"/>
        <v>0.15000000000000002</v>
      </c>
      <c r="K60" s="10">
        <f t="shared" ca="1" si="21"/>
        <v>0.75000000000000011</v>
      </c>
      <c r="L60" s="22">
        <f t="shared" ca="1" si="22"/>
        <v>2</v>
      </c>
      <c r="M60" s="11">
        <f t="shared" ca="1" si="23"/>
        <v>7.1916576770945706E-2</v>
      </c>
    </row>
    <row r="61" spans="1:13" x14ac:dyDescent="0.25">
      <c r="A61">
        <v>32</v>
      </c>
      <c r="B61" s="12">
        <f t="shared" ca="1" si="12"/>
        <v>35</v>
      </c>
      <c r="C61" s="12">
        <f t="shared" ca="1" si="13"/>
        <v>48</v>
      </c>
      <c r="D61" s="12">
        <f t="shared" ca="1" si="14"/>
        <v>32</v>
      </c>
      <c r="E61" s="7" t="str">
        <f t="shared" ca="1" si="15"/>
        <v>Vestre Strandvej</v>
      </c>
      <c r="F61" s="9" t="str">
        <f t="shared" ca="1" si="16"/>
        <v>Dobbeltrettet cykelsti</v>
      </c>
      <c r="G61" s="8">
        <f t="shared" ca="1" si="17"/>
        <v>6.9524999999999997</v>
      </c>
      <c r="H61" s="10">
        <f t="shared" ca="1" si="18"/>
        <v>0.35</v>
      </c>
      <c r="I61" s="10">
        <f t="shared" ca="1" si="19"/>
        <v>0.2</v>
      </c>
      <c r="J61" s="10">
        <f t="shared" ca="1" si="20"/>
        <v>0.15000000000000002</v>
      </c>
      <c r="K61" s="10">
        <f t="shared" ca="1" si="21"/>
        <v>0.70000000000000007</v>
      </c>
      <c r="L61" s="22">
        <f t="shared" ca="1" si="22"/>
        <v>1</v>
      </c>
      <c r="M61" s="11">
        <f t="shared" ca="1" si="23"/>
        <v>0.10068320747932399</v>
      </c>
    </row>
    <row r="62" spans="1:13" hidden="1" x14ac:dyDescent="0.25">
      <c r="B62" s="12" t="str">
        <f t="shared" ca="1" si="12"/>
        <v/>
      </c>
      <c r="C62" s="12" t="str">
        <f t="shared" ca="1" si="13"/>
        <v/>
      </c>
      <c r="D62" s="12" t="str">
        <f t="shared" ca="1" si="14"/>
        <v/>
      </c>
      <c r="E62" s="7" t="str">
        <f t="shared" ca="1" si="15"/>
        <v/>
      </c>
      <c r="F62" s="9" t="str">
        <f t="shared" ca="1" si="16"/>
        <v/>
      </c>
      <c r="G62" s="8" t="str">
        <f t="shared" ca="1" si="17"/>
        <v/>
      </c>
      <c r="H62" s="10" t="str">
        <f t="shared" ca="1" si="18"/>
        <v/>
      </c>
      <c r="I62" s="10" t="str">
        <f t="shared" ca="1" si="19"/>
        <v/>
      </c>
      <c r="J62" s="10" t="str">
        <f t="shared" ca="1" si="20"/>
        <v/>
      </c>
      <c r="K62" s="10" t="str">
        <f t="shared" ca="1" si="21"/>
        <v/>
      </c>
      <c r="L62" s="22" t="str">
        <f t="shared" ca="1" si="22"/>
        <v/>
      </c>
      <c r="M62" s="11" t="str">
        <f t="shared" ca="1" si="23"/>
        <v/>
      </c>
    </row>
    <row r="63" spans="1:13" hidden="1" x14ac:dyDescent="0.25">
      <c r="B63" s="12" t="str">
        <f t="shared" ca="1" si="12"/>
        <v/>
      </c>
      <c r="C63" s="12" t="str">
        <f t="shared" ca="1" si="13"/>
        <v/>
      </c>
      <c r="D63" s="12" t="str">
        <f t="shared" ca="1" si="14"/>
        <v/>
      </c>
      <c r="E63" s="7" t="str">
        <f t="shared" ca="1" si="15"/>
        <v/>
      </c>
      <c r="F63" s="9" t="str">
        <f t="shared" ca="1" si="16"/>
        <v/>
      </c>
      <c r="G63" s="8" t="str">
        <f t="shared" ca="1" si="17"/>
        <v/>
      </c>
      <c r="H63" s="10" t="str">
        <f t="shared" ca="1" si="18"/>
        <v/>
      </c>
      <c r="I63" s="10" t="str">
        <f t="shared" ca="1" si="19"/>
        <v/>
      </c>
      <c r="J63" s="10" t="str">
        <f t="shared" ca="1" si="20"/>
        <v/>
      </c>
      <c r="K63" s="10" t="str">
        <f t="shared" ca="1" si="21"/>
        <v/>
      </c>
      <c r="L63" s="22" t="str">
        <f t="shared" ca="1" si="22"/>
        <v/>
      </c>
      <c r="M63" s="11" t="str">
        <f t="shared" ca="1" si="23"/>
        <v/>
      </c>
    </row>
    <row r="64" spans="1:13" hidden="1" x14ac:dyDescent="0.25">
      <c r="B64" s="12" t="str">
        <f t="shared" ref="B64:B77" ca="1" si="24">IFERROR(RANK(M64,$M$14:$M$164,0),"")</f>
        <v/>
      </c>
      <c r="C64" s="12" t="str">
        <f t="shared" ref="C64:C77" ca="1" si="25">IFERROR(RANK(K64,$K$14:$K$164,0),"")</f>
        <v/>
      </c>
      <c r="D64" s="12" t="str">
        <f t="shared" ref="D64:D78" ca="1" si="26">IFERROR(INDIRECT("'"&amp;$A64&amp;"'!B4"),"")</f>
        <v/>
      </c>
      <c r="E64" s="7" t="str">
        <f t="shared" ref="E64:E77" ca="1" si="27">IFERROR(INDIRECT("'"&amp;$A64&amp;"'!B6"),"")</f>
        <v/>
      </c>
      <c r="F64" s="9" t="str">
        <f t="shared" ref="F64:F78" ca="1" si="28">IFERROR(INDIRECT("'"&amp;$A64&amp;"'!B7"),"")</f>
        <v/>
      </c>
      <c r="G64" s="8" t="str">
        <f t="shared" ref="G64:G78" ca="1" si="29">IFERROR(INDIRECT("'"&amp;$A64&amp;"'!b9"),"")</f>
        <v/>
      </c>
      <c r="H64" s="10" t="str">
        <f t="shared" ref="H64:H79" ca="1" si="30">IFERROR(INDIRECT("'"&amp;$A64&amp;"'!E9"),"")</f>
        <v/>
      </c>
      <c r="I64" s="10" t="str">
        <f t="shared" ref="I64:I79" ca="1" si="31">IFERROR(INDIRECT("'"&amp;$A64&amp;"'!E10"),"")</f>
        <v/>
      </c>
      <c r="J64" s="10" t="str">
        <f t="shared" ref="J64:J79" ca="1" si="32">IFERROR(INDIRECT("'"&amp;$A64&amp;"'!E11"),"")</f>
        <v/>
      </c>
      <c r="K64" s="10" t="str">
        <f t="shared" ref="K64:K79" ca="1" si="33">IFERROR(INDIRECT("'"&amp;$A64&amp;"'!E4"),"")</f>
        <v/>
      </c>
      <c r="L64" s="22" t="str">
        <f t="shared" ref="L64:L79" ca="1" si="34">IFERROR(INDIRECT("'"&amp;$A64&amp;"'!E6"),"")</f>
        <v/>
      </c>
      <c r="M64" s="11" t="str">
        <f t="shared" ref="M64:M80" ca="1" si="35">IFERROR(INDIRECT("'"&amp;$A64&amp;"'!E5"),"")</f>
        <v/>
      </c>
    </row>
    <row r="65" spans="1:13" hidden="1" x14ac:dyDescent="0.25">
      <c r="B65" s="12" t="str">
        <f t="shared" ca="1" si="24"/>
        <v/>
      </c>
      <c r="C65" s="12" t="str">
        <f t="shared" ca="1" si="25"/>
        <v/>
      </c>
      <c r="D65" s="12" t="str">
        <f t="shared" ca="1" si="26"/>
        <v/>
      </c>
      <c r="E65" s="7" t="str">
        <f t="shared" ca="1" si="27"/>
        <v/>
      </c>
      <c r="F65" s="9" t="str">
        <f t="shared" ca="1" si="28"/>
        <v/>
      </c>
      <c r="G65" s="8" t="str">
        <f t="shared" ca="1" si="29"/>
        <v/>
      </c>
      <c r="H65" s="10" t="str">
        <f t="shared" ca="1" si="30"/>
        <v/>
      </c>
      <c r="I65" s="10" t="str">
        <f t="shared" ca="1" si="31"/>
        <v/>
      </c>
      <c r="J65" s="10" t="str">
        <f t="shared" ca="1" si="32"/>
        <v/>
      </c>
      <c r="K65" s="10" t="str">
        <f t="shared" ca="1" si="33"/>
        <v/>
      </c>
      <c r="L65" s="22" t="str">
        <f t="shared" ca="1" si="34"/>
        <v/>
      </c>
      <c r="M65" s="11" t="str">
        <f t="shared" ca="1" si="35"/>
        <v/>
      </c>
    </row>
    <row r="66" spans="1:13" hidden="1" x14ac:dyDescent="0.25">
      <c r="A66" s="159"/>
      <c r="B66" s="12" t="str">
        <f t="shared" ca="1" si="24"/>
        <v/>
      </c>
      <c r="C66" s="12" t="str">
        <f t="shared" ca="1" si="25"/>
        <v/>
      </c>
      <c r="D66" s="12" t="str">
        <f t="shared" ca="1" si="26"/>
        <v/>
      </c>
      <c r="E66" s="7" t="str">
        <f t="shared" ca="1" si="27"/>
        <v/>
      </c>
      <c r="F66" s="9" t="str">
        <f t="shared" ca="1" si="28"/>
        <v/>
      </c>
      <c r="G66" s="8" t="str">
        <f t="shared" ca="1" si="29"/>
        <v/>
      </c>
      <c r="H66" s="10" t="str">
        <f t="shared" ca="1" si="30"/>
        <v/>
      </c>
      <c r="I66" s="10" t="str">
        <f t="shared" ca="1" si="31"/>
        <v/>
      </c>
      <c r="J66" s="10" t="str">
        <f t="shared" ca="1" si="32"/>
        <v/>
      </c>
      <c r="K66" s="10" t="str">
        <f t="shared" ca="1" si="33"/>
        <v/>
      </c>
      <c r="L66" s="22" t="str">
        <f t="shared" ca="1" si="34"/>
        <v/>
      </c>
      <c r="M66" s="11" t="str">
        <f t="shared" ca="1" si="35"/>
        <v/>
      </c>
    </row>
    <row r="67" spans="1:13" hidden="1" x14ac:dyDescent="0.25">
      <c r="B67" s="12" t="str">
        <f t="shared" ca="1" si="24"/>
        <v/>
      </c>
      <c r="C67" s="12" t="str">
        <f t="shared" ca="1" si="25"/>
        <v/>
      </c>
      <c r="D67" s="12" t="str">
        <f t="shared" ca="1" si="26"/>
        <v/>
      </c>
      <c r="E67" s="7" t="str">
        <f t="shared" ca="1" si="27"/>
        <v/>
      </c>
      <c r="F67" s="9" t="str">
        <f t="shared" ca="1" si="28"/>
        <v/>
      </c>
      <c r="G67" s="8" t="str">
        <f t="shared" ca="1" si="29"/>
        <v/>
      </c>
      <c r="H67" s="10" t="str">
        <f t="shared" ca="1" si="30"/>
        <v/>
      </c>
      <c r="I67" s="10" t="str">
        <f t="shared" ca="1" si="31"/>
        <v/>
      </c>
      <c r="J67" s="10" t="str">
        <f t="shared" ca="1" si="32"/>
        <v/>
      </c>
      <c r="K67" s="10" t="str">
        <f t="shared" ca="1" si="33"/>
        <v/>
      </c>
      <c r="L67" s="22" t="str">
        <f t="shared" ca="1" si="34"/>
        <v/>
      </c>
      <c r="M67" s="11" t="str">
        <f t="shared" ca="1" si="35"/>
        <v/>
      </c>
    </row>
    <row r="68" spans="1:13" hidden="1" x14ac:dyDescent="0.25">
      <c r="B68" s="12" t="str">
        <f t="shared" ca="1" si="24"/>
        <v/>
      </c>
      <c r="C68" s="12" t="str">
        <f t="shared" ca="1" si="25"/>
        <v/>
      </c>
      <c r="D68" s="12" t="str">
        <f t="shared" ca="1" si="26"/>
        <v/>
      </c>
      <c r="E68" s="7" t="str">
        <f t="shared" ca="1" si="27"/>
        <v/>
      </c>
      <c r="F68" s="9" t="str">
        <f t="shared" ca="1" si="28"/>
        <v/>
      </c>
      <c r="G68" s="8" t="str">
        <f t="shared" ca="1" si="29"/>
        <v/>
      </c>
      <c r="H68" s="10" t="str">
        <f t="shared" ca="1" si="30"/>
        <v/>
      </c>
      <c r="I68" s="10" t="str">
        <f t="shared" ca="1" si="31"/>
        <v/>
      </c>
      <c r="J68" s="10" t="str">
        <f t="shared" ca="1" si="32"/>
        <v/>
      </c>
      <c r="K68" s="10" t="str">
        <f t="shared" ca="1" si="33"/>
        <v/>
      </c>
      <c r="L68" s="22" t="str">
        <f t="shared" ca="1" si="34"/>
        <v/>
      </c>
      <c r="M68" s="11" t="str">
        <f t="shared" ca="1" si="35"/>
        <v/>
      </c>
    </row>
    <row r="69" spans="1:13" hidden="1" x14ac:dyDescent="0.25">
      <c r="B69" s="12" t="str">
        <f t="shared" ca="1" si="24"/>
        <v/>
      </c>
      <c r="C69" s="12" t="str">
        <f t="shared" ca="1" si="25"/>
        <v/>
      </c>
      <c r="D69" s="12" t="str">
        <f t="shared" ca="1" si="26"/>
        <v/>
      </c>
      <c r="E69" s="7" t="str">
        <f t="shared" ca="1" si="27"/>
        <v/>
      </c>
      <c r="F69" s="9" t="str">
        <f t="shared" ca="1" si="28"/>
        <v/>
      </c>
      <c r="G69" s="8" t="str">
        <f t="shared" ca="1" si="29"/>
        <v/>
      </c>
      <c r="H69" s="10" t="str">
        <f t="shared" ca="1" si="30"/>
        <v/>
      </c>
      <c r="I69" s="10" t="str">
        <f t="shared" ca="1" si="31"/>
        <v/>
      </c>
      <c r="J69" s="10" t="str">
        <f t="shared" ca="1" si="32"/>
        <v/>
      </c>
      <c r="K69" s="10" t="str">
        <f t="shared" ca="1" si="33"/>
        <v/>
      </c>
      <c r="L69" s="22" t="str">
        <f t="shared" ca="1" si="34"/>
        <v/>
      </c>
      <c r="M69" s="11" t="str">
        <f t="shared" ca="1" si="35"/>
        <v/>
      </c>
    </row>
    <row r="70" spans="1:13" hidden="1" x14ac:dyDescent="0.25">
      <c r="B70" s="12" t="str">
        <f t="shared" ca="1" si="24"/>
        <v/>
      </c>
      <c r="C70" s="12" t="str">
        <f t="shared" ca="1" si="25"/>
        <v/>
      </c>
      <c r="D70" s="12" t="str">
        <f t="shared" ca="1" si="26"/>
        <v/>
      </c>
      <c r="E70" s="7" t="str">
        <f t="shared" ca="1" si="27"/>
        <v/>
      </c>
      <c r="F70" s="9" t="str">
        <f t="shared" ca="1" si="28"/>
        <v/>
      </c>
      <c r="G70" s="8" t="str">
        <f t="shared" ca="1" si="29"/>
        <v/>
      </c>
      <c r="H70" s="10" t="str">
        <f t="shared" ca="1" si="30"/>
        <v/>
      </c>
      <c r="I70" s="10" t="str">
        <f t="shared" ca="1" si="31"/>
        <v/>
      </c>
      <c r="J70" s="10" t="str">
        <f t="shared" ca="1" si="32"/>
        <v/>
      </c>
      <c r="K70" s="10" t="str">
        <f t="shared" ca="1" si="33"/>
        <v/>
      </c>
      <c r="L70" s="22" t="str">
        <f t="shared" ca="1" si="34"/>
        <v/>
      </c>
      <c r="M70" s="11" t="str">
        <f t="shared" ca="1" si="35"/>
        <v/>
      </c>
    </row>
    <row r="71" spans="1:13" hidden="1" x14ac:dyDescent="0.25">
      <c r="B71" s="12" t="str">
        <f t="shared" ca="1" si="24"/>
        <v/>
      </c>
      <c r="C71" s="12" t="str">
        <f t="shared" ca="1" si="25"/>
        <v/>
      </c>
      <c r="D71" s="12" t="str">
        <f t="shared" ca="1" si="26"/>
        <v/>
      </c>
      <c r="E71" s="7" t="str">
        <f t="shared" ca="1" si="27"/>
        <v/>
      </c>
      <c r="F71" s="9" t="str">
        <f t="shared" ca="1" si="28"/>
        <v/>
      </c>
      <c r="G71" s="8" t="str">
        <f t="shared" ca="1" si="29"/>
        <v/>
      </c>
      <c r="H71" s="10" t="str">
        <f t="shared" ca="1" si="30"/>
        <v/>
      </c>
      <c r="I71" s="10" t="str">
        <f t="shared" ca="1" si="31"/>
        <v/>
      </c>
      <c r="J71" s="10" t="str">
        <f t="shared" ca="1" si="32"/>
        <v/>
      </c>
      <c r="K71" s="10" t="str">
        <f t="shared" ca="1" si="33"/>
        <v/>
      </c>
      <c r="L71" s="22" t="str">
        <f t="shared" ca="1" si="34"/>
        <v/>
      </c>
      <c r="M71" s="11" t="str">
        <f t="shared" ca="1" si="35"/>
        <v/>
      </c>
    </row>
    <row r="72" spans="1:13" hidden="1" x14ac:dyDescent="0.25">
      <c r="B72" s="12" t="str">
        <f t="shared" ca="1" si="24"/>
        <v/>
      </c>
      <c r="C72" s="12" t="str">
        <f t="shared" ca="1" si="25"/>
        <v/>
      </c>
      <c r="D72" s="12" t="str">
        <f t="shared" ca="1" si="26"/>
        <v/>
      </c>
      <c r="E72" s="7" t="str">
        <f t="shared" ca="1" si="27"/>
        <v/>
      </c>
      <c r="F72" s="9" t="str">
        <f t="shared" ca="1" si="28"/>
        <v/>
      </c>
      <c r="G72" s="8" t="str">
        <f t="shared" ca="1" si="29"/>
        <v/>
      </c>
      <c r="H72" s="10" t="str">
        <f t="shared" ca="1" si="30"/>
        <v/>
      </c>
      <c r="I72" s="10" t="str">
        <f t="shared" ca="1" si="31"/>
        <v/>
      </c>
      <c r="J72" s="10" t="str">
        <f t="shared" ca="1" si="32"/>
        <v/>
      </c>
      <c r="K72" s="10" t="str">
        <f t="shared" ca="1" si="33"/>
        <v/>
      </c>
      <c r="L72" s="22" t="str">
        <f t="shared" ca="1" si="34"/>
        <v/>
      </c>
      <c r="M72" s="11" t="str">
        <f t="shared" ca="1" si="35"/>
        <v/>
      </c>
    </row>
    <row r="73" spans="1:13" hidden="1" x14ac:dyDescent="0.25">
      <c r="B73" s="12" t="str">
        <f t="shared" ca="1" si="24"/>
        <v/>
      </c>
      <c r="C73" s="12" t="str">
        <f t="shared" ca="1" si="25"/>
        <v/>
      </c>
      <c r="D73" s="12" t="str">
        <f t="shared" ca="1" si="26"/>
        <v/>
      </c>
      <c r="E73" s="7" t="str">
        <f t="shared" ca="1" si="27"/>
        <v/>
      </c>
      <c r="F73" s="9" t="str">
        <f t="shared" ca="1" si="28"/>
        <v/>
      </c>
      <c r="G73" s="8" t="str">
        <f t="shared" ca="1" si="29"/>
        <v/>
      </c>
      <c r="H73" s="10" t="str">
        <f t="shared" ca="1" si="30"/>
        <v/>
      </c>
      <c r="I73" s="10" t="str">
        <f t="shared" ca="1" si="31"/>
        <v/>
      </c>
      <c r="J73" s="10" t="str">
        <f t="shared" ca="1" si="32"/>
        <v/>
      </c>
      <c r="K73" s="10" t="str">
        <f t="shared" ca="1" si="33"/>
        <v/>
      </c>
      <c r="L73" s="22" t="str">
        <f t="shared" ca="1" si="34"/>
        <v/>
      </c>
      <c r="M73" s="11" t="str">
        <f t="shared" ca="1" si="35"/>
        <v/>
      </c>
    </row>
    <row r="74" spans="1:13" hidden="1" x14ac:dyDescent="0.25">
      <c r="B74" s="12" t="str">
        <f t="shared" ca="1" si="24"/>
        <v/>
      </c>
      <c r="C74" s="12" t="str">
        <f t="shared" ca="1" si="25"/>
        <v/>
      </c>
      <c r="D74" s="12" t="str">
        <f t="shared" ca="1" si="26"/>
        <v/>
      </c>
      <c r="E74" s="7" t="str">
        <f t="shared" ca="1" si="27"/>
        <v/>
      </c>
      <c r="F74" s="9" t="str">
        <f t="shared" ca="1" si="28"/>
        <v/>
      </c>
      <c r="G74" s="8" t="str">
        <f t="shared" ca="1" si="29"/>
        <v/>
      </c>
      <c r="H74" s="10" t="str">
        <f t="shared" ca="1" si="30"/>
        <v/>
      </c>
      <c r="I74" s="10" t="str">
        <f t="shared" ca="1" si="31"/>
        <v/>
      </c>
      <c r="J74" s="10" t="str">
        <f t="shared" ca="1" si="32"/>
        <v/>
      </c>
      <c r="K74" s="10" t="str">
        <f t="shared" ca="1" si="33"/>
        <v/>
      </c>
      <c r="L74" s="22" t="str">
        <f t="shared" ca="1" si="34"/>
        <v/>
      </c>
      <c r="M74" s="11" t="str">
        <f t="shared" ca="1" si="35"/>
        <v/>
      </c>
    </row>
    <row r="75" spans="1:13" hidden="1" x14ac:dyDescent="0.25">
      <c r="B75" s="12" t="str">
        <f t="shared" ca="1" si="24"/>
        <v/>
      </c>
      <c r="C75" s="12" t="str">
        <f t="shared" ca="1" si="25"/>
        <v/>
      </c>
      <c r="D75" s="12" t="str">
        <f t="shared" ca="1" si="26"/>
        <v/>
      </c>
      <c r="E75" s="7" t="str">
        <f t="shared" ca="1" si="27"/>
        <v/>
      </c>
      <c r="F75" s="9" t="str">
        <f t="shared" ca="1" si="28"/>
        <v/>
      </c>
      <c r="G75" s="8" t="str">
        <f t="shared" ca="1" si="29"/>
        <v/>
      </c>
      <c r="H75" s="10" t="str">
        <f t="shared" ca="1" si="30"/>
        <v/>
      </c>
      <c r="I75" s="10" t="str">
        <f t="shared" ca="1" si="31"/>
        <v/>
      </c>
      <c r="J75" s="10" t="str">
        <f t="shared" ca="1" si="32"/>
        <v/>
      </c>
      <c r="K75" s="10" t="str">
        <f t="shared" ca="1" si="33"/>
        <v/>
      </c>
      <c r="L75" s="22" t="str">
        <f t="shared" ca="1" si="34"/>
        <v/>
      </c>
      <c r="M75" s="11" t="str">
        <f t="shared" ca="1" si="35"/>
        <v/>
      </c>
    </row>
    <row r="76" spans="1:13" hidden="1" x14ac:dyDescent="0.25">
      <c r="B76" s="12" t="str">
        <f t="shared" ca="1" si="24"/>
        <v/>
      </c>
      <c r="C76" s="12" t="str">
        <f t="shared" ca="1" si="25"/>
        <v/>
      </c>
      <c r="D76" s="12" t="str">
        <f t="shared" ca="1" si="26"/>
        <v/>
      </c>
      <c r="E76" s="7" t="str">
        <f t="shared" ca="1" si="27"/>
        <v/>
      </c>
      <c r="F76" s="9" t="str">
        <f t="shared" ca="1" si="28"/>
        <v/>
      </c>
      <c r="G76" s="8" t="str">
        <f t="shared" ca="1" si="29"/>
        <v/>
      </c>
      <c r="H76" s="10" t="str">
        <f t="shared" ca="1" si="30"/>
        <v/>
      </c>
      <c r="I76" s="10" t="str">
        <f t="shared" ca="1" si="31"/>
        <v/>
      </c>
      <c r="J76" s="10" t="str">
        <f t="shared" ca="1" si="32"/>
        <v/>
      </c>
      <c r="K76" s="10" t="str">
        <f t="shared" ca="1" si="33"/>
        <v/>
      </c>
      <c r="L76" s="22" t="str">
        <f t="shared" ca="1" si="34"/>
        <v/>
      </c>
      <c r="M76" s="11" t="str">
        <f t="shared" ca="1" si="35"/>
        <v/>
      </c>
    </row>
    <row r="77" spans="1:13" hidden="1" x14ac:dyDescent="0.25">
      <c r="B77" s="12" t="str">
        <f t="shared" ca="1" si="24"/>
        <v/>
      </c>
      <c r="C77" s="12" t="str">
        <f t="shared" ca="1" si="25"/>
        <v/>
      </c>
      <c r="D77" s="12" t="str">
        <f t="shared" ca="1" si="26"/>
        <v/>
      </c>
      <c r="E77" s="7" t="str">
        <f t="shared" ca="1" si="27"/>
        <v/>
      </c>
      <c r="F77" s="9" t="str">
        <f t="shared" ca="1" si="28"/>
        <v/>
      </c>
      <c r="G77" s="8" t="str">
        <f t="shared" ca="1" si="29"/>
        <v/>
      </c>
      <c r="H77" s="10" t="str">
        <f t="shared" ca="1" si="30"/>
        <v/>
      </c>
      <c r="I77" s="10" t="str">
        <f t="shared" ca="1" si="31"/>
        <v/>
      </c>
      <c r="J77" s="10" t="str">
        <f t="shared" ca="1" si="32"/>
        <v/>
      </c>
      <c r="K77" s="10" t="str">
        <f t="shared" ca="1" si="33"/>
        <v/>
      </c>
      <c r="L77" s="22" t="str">
        <f t="shared" ca="1" si="34"/>
        <v/>
      </c>
      <c r="M77" s="11" t="str">
        <f t="shared" ca="1" si="35"/>
        <v/>
      </c>
    </row>
    <row r="78" spans="1:13" hidden="1" x14ac:dyDescent="0.25">
      <c r="B78" s="12" t="str">
        <f t="shared" ref="B78:B109" ca="1" si="36">IFERROR(RANK(M78,$M$14:$M$164,0),"")</f>
        <v/>
      </c>
      <c r="C78" s="12" t="str">
        <f t="shared" ref="C78:C109" ca="1" si="37">IFERROR(RANK(K78,$K$14:$K$164,0),"")</f>
        <v/>
      </c>
      <c r="D78" s="12" t="str">
        <f t="shared" ca="1" si="26"/>
        <v/>
      </c>
      <c r="E78" s="7" t="str">
        <f t="shared" ref="E78:E141" ca="1" si="38">IFERROR(INDIRECT("'"&amp;$A78&amp;"'!B6"),"")</f>
        <v/>
      </c>
      <c r="F78" s="9" t="str">
        <f t="shared" ca="1" si="28"/>
        <v/>
      </c>
      <c r="G78" s="8" t="str">
        <f t="shared" ca="1" si="29"/>
        <v/>
      </c>
      <c r="H78" s="10" t="str">
        <f t="shared" ca="1" si="30"/>
        <v/>
      </c>
      <c r="I78" s="10" t="str">
        <f t="shared" ca="1" si="31"/>
        <v/>
      </c>
      <c r="J78" s="10" t="str">
        <f t="shared" ca="1" si="32"/>
        <v/>
      </c>
      <c r="K78" s="10" t="str">
        <f t="shared" ca="1" si="33"/>
        <v/>
      </c>
      <c r="L78" s="22" t="str">
        <f t="shared" ca="1" si="34"/>
        <v/>
      </c>
      <c r="M78" s="11" t="str">
        <f t="shared" ca="1" si="35"/>
        <v/>
      </c>
    </row>
    <row r="79" spans="1:13" hidden="1" x14ac:dyDescent="0.25">
      <c r="B79" s="12" t="str">
        <f t="shared" ca="1" si="36"/>
        <v/>
      </c>
      <c r="C79" s="12" t="str">
        <f t="shared" ca="1" si="37"/>
        <v/>
      </c>
      <c r="D79" s="12" t="str">
        <f t="shared" ref="D79:D142" ca="1" si="39">IFERROR(INDIRECT("'"&amp;$A79&amp;"'!B4"),"")</f>
        <v/>
      </c>
      <c r="E79" s="7" t="str">
        <f t="shared" ca="1" si="38"/>
        <v/>
      </c>
      <c r="F79" s="9" t="str">
        <f t="shared" ref="F79:F142" ca="1" si="40">IFERROR(INDIRECT("'"&amp;$A79&amp;"'!B7"),"")</f>
        <v/>
      </c>
      <c r="G79" s="8" t="str">
        <f t="shared" ref="G79:G142" ca="1" si="41">IFERROR(INDIRECT("'"&amp;$A79&amp;"'!b9"),"")</f>
        <v/>
      </c>
      <c r="H79" s="10" t="str">
        <f t="shared" ca="1" si="30"/>
        <v/>
      </c>
      <c r="I79" s="10" t="str">
        <f t="shared" ca="1" si="31"/>
        <v/>
      </c>
      <c r="J79" s="10" t="str">
        <f t="shared" ca="1" si="32"/>
        <v/>
      </c>
      <c r="K79" s="10" t="str">
        <f t="shared" ca="1" si="33"/>
        <v/>
      </c>
      <c r="L79" s="22" t="str">
        <f t="shared" ca="1" si="34"/>
        <v/>
      </c>
      <c r="M79" s="11" t="str">
        <f t="shared" ca="1" si="35"/>
        <v/>
      </c>
    </row>
    <row r="80" spans="1:13" hidden="1" x14ac:dyDescent="0.25">
      <c r="B80" s="12" t="str">
        <f t="shared" ca="1" si="36"/>
        <v/>
      </c>
      <c r="C80" s="12" t="str">
        <f t="shared" ca="1" si="37"/>
        <v/>
      </c>
      <c r="D80" s="12" t="str">
        <f t="shared" ca="1" si="39"/>
        <v/>
      </c>
      <c r="E80" s="7" t="str">
        <f t="shared" ca="1" si="38"/>
        <v/>
      </c>
      <c r="F80" s="9" t="str">
        <f t="shared" ca="1" si="40"/>
        <v/>
      </c>
      <c r="G80" s="8" t="str">
        <f t="shared" ca="1" si="41"/>
        <v/>
      </c>
      <c r="H80" s="10" t="str">
        <f t="shared" ref="H80:H143" ca="1" si="42">IFERROR(INDIRECT("'"&amp;$A80&amp;"'!E9"),"")</f>
        <v/>
      </c>
      <c r="I80" s="10" t="str">
        <f t="shared" ref="I80:I143" ca="1" si="43">IFERROR(INDIRECT("'"&amp;$A80&amp;"'!E10"),"")</f>
        <v/>
      </c>
      <c r="J80" s="10" t="str">
        <f t="shared" ref="J80:J143" ca="1" si="44">IFERROR(INDIRECT("'"&amp;$A80&amp;"'!E11"),"")</f>
        <v/>
      </c>
      <c r="K80" s="10" t="str">
        <f t="shared" ref="K80:K143" ca="1" si="45">IFERROR(INDIRECT("'"&amp;$A80&amp;"'!E4"),"")</f>
        <v/>
      </c>
      <c r="L80" s="22" t="str">
        <f t="shared" ref="L80:L143" ca="1" si="46">IFERROR(INDIRECT("'"&amp;$A80&amp;"'!E6"),"")</f>
        <v/>
      </c>
      <c r="M80" s="11" t="str">
        <f t="shared" ca="1" si="35"/>
        <v/>
      </c>
    </row>
    <row r="81" spans="2:13" hidden="1" x14ac:dyDescent="0.25">
      <c r="B81" s="12" t="str">
        <f t="shared" ca="1" si="36"/>
        <v/>
      </c>
      <c r="C81" s="12" t="str">
        <f t="shared" ca="1" si="37"/>
        <v/>
      </c>
      <c r="D81" s="12" t="str">
        <f t="shared" ca="1" si="39"/>
        <v/>
      </c>
      <c r="E81" s="7" t="str">
        <f t="shared" ca="1" si="38"/>
        <v/>
      </c>
      <c r="F81" s="9" t="str">
        <f t="shared" ca="1" si="40"/>
        <v/>
      </c>
      <c r="G81" s="8" t="str">
        <f t="shared" ca="1" si="41"/>
        <v/>
      </c>
      <c r="H81" s="10" t="str">
        <f t="shared" ca="1" si="42"/>
        <v/>
      </c>
      <c r="I81" s="10" t="str">
        <f t="shared" ca="1" si="43"/>
        <v/>
      </c>
      <c r="J81" s="10" t="str">
        <f t="shared" ca="1" si="44"/>
        <v/>
      </c>
      <c r="K81" s="10" t="str">
        <f t="shared" ca="1" si="45"/>
        <v/>
      </c>
      <c r="L81" s="22" t="str">
        <f t="shared" ca="1" si="46"/>
        <v/>
      </c>
      <c r="M81" s="11" t="str">
        <f t="shared" ref="M81:M144" ca="1" si="47">IFERROR(INDIRECT("'"&amp;$A81&amp;"'!E5"),"")</f>
        <v/>
      </c>
    </row>
    <row r="82" spans="2:13" hidden="1" x14ac:dyDescent="0.25">
      <c r="B82" s="12" t="str">
        <f t="shared" ca="1" si="36"/>
        <v/>
      </c>
      <c r="C82" s="12" t="str">
        <f t="shared" ca="1" si="37"/>
        <v/>
      </c>
      <c r="D82" s="12" t="str">
        <f t="shared" ca="1" si="39"/>
        <v/>
      </c>
      <c r="E82" s="7" t="str">
        <f t="shared" ca="1" si="38"/>
        <v/>
      </c>
      <c r="F82" s="9" t="str">
        <f t="shared" ca="1" si="40"/>
        <v/>
      </c>
      <c r="G82" s="8" t="str">
        <f t="shared" ca="1" si="41"/>
        <v/>
      </c>
      <c r="H82" s="10" t="str">
        <f t="shared" ca="1" si="42"/>
        <v/>
      </c>
      <c r="I82" s="10" t="str">
        <f t="shared" ca="1" si="43"/>
        <v/>
      </c>
      <c r="J82" s="10" t="str">
        <f t="shared" ca="1" si="44"/>
        <v/>
      </c>
      <c r="K82" s="10" t="str">
        <f t="shared" ca="1" si="45"/>
        <v/>
      </c>
      <c r="L82" s="22" t="str">
        <f t="shared" ca="1" si="46"/>
        <v/>
      </c>
      <c r="M82" s="11" t="str">
        <f t="shared" ca="1" si="47"/>
        <v/>
      </c>
    </row>
    <row r="83" spans="2:13" hidden="1" x14ac:dyDescent="0.25">
      <c r="B83" s="12" t="str">
        <f t="shared" ca="1" si="36"/>
        <v/>
      </c>
      <c r="C83" s="12" t="str">
        <f t="shared" ca="1" si="37"/>
        <v/>
      </c>
      <c r="D83" s="12" t="str">
        <f t="shared" ca="1" si="39"/>
        <v/>
      </c>
      <c r="E83" s="7" t="str">
        <f t="shared" ca="1" si="38"/>
        <v/>
      </c>
      <c r="F83" s="9" t="str">
        <f t="shared" ca="1" si="40"/>
        <v/>
      </c>
      <c r="G83" s="8" t="str">
        <f t="shared" ca="1" si="41"/>
        <v/>
      </c>
      <c r="H83" s="10" t="str">
        <f t="shared" ca="1" si="42"/>
        <v/>
      </c>
      <c r="I83" s="10" t="str">
        <f t="shared" ca="1" si="43"/>
        <v/>
      </c>
      <c r="J83" s="10" t="str">
        <f t="shared" ca="1" si="44"/>
        <v/>
      </c>
      <c r="K83" s="10" t="str">
        <f t="shared" ca="1" si="45"/>
        <v/>
      </c>
      <c r="L83" s="22" t="str">
        <f t="shared" ca="1" si="46"/>
        <v/>
      </c>
      <c r="M83" s="11" t="str">
        <f t="shared" ca="1" si="47"/>
        <v/>
      </c>
    </row>
    <row r="84" spans="2:13" hidden="1" x14ac:dyDescent="0.25">
      <c r="B84" s="12" t="str">
        <f t="shared" ca="1" si="36"/>
        <v/>
      </c>
      <c r="C84" s="12" t="str">
        <f t="shared" ca="1" si="37"/>
        <v/>
      </c>
      <c r="D84" s="12" t="str">
        <f t="shared" ca="1" si="39"/>
        <v/>
      </c>
      <c r="E84" s="7" t="str">
        <f t="shared" ca="1" si="38"/>
        <v/>
      </c>
      <c r="F84" s="9" t="str">
        <f t="shared" ca="1" si="40"/>
        <v/>
      </c>
      <c r="G84" s="8" t="str">
        <f t="shared" ca="1" si="41"/>
        <v/>
      </c>
      <c r="H84" s="10" t="str">
        <f t="shared" ca="1" si="42"/>
        <v/>
      </c>
      <c r="I84" s="10" t="str">
        <f t="shared" ca="1" si="43"/>
        <v/>
      </c>
      <c r="J84" s="10" t="str">
        <f t="shared" ca="1" si="44"/>
        <v/>
      </c>
      <c r="K84" s="10" t="str">
        <f t="shared" ca="1" si="45"/>
        <v/>
      </c>
      <c r="L84" s="22" t="str">
        <f t="shared" ca="1" si="46"/>
        <v/>
      </c>
      <c r="M84" s="11" t="str">
        <f t="shared" ca="1" si="47"/>
        <v/>
      </c>
    </row>
    <row r="85" spans="2:13" hidden="1" x14ac:dyDescent="0.25">
      <c r="B85" s="12" t="str">
        <f t="shared" ca="1" si="36"/>
        <v/>
      </c>
      <c r="C85" s="12" t="str">
        <f t="shared" ca="1" si="37"/>
        <v/>
      </c>
      <c r="D85" s="12" t="str">
        <f t="shared" ca="1" si="39"/>
        <v/>
      </c>
      <c r="E85" s="7" t="str">
        <f t="shared" ca="1" si="38"/>
        <v/>
      </c>
      <c r="F85" s="9" t="str">
        <f t="shared" ca="1" si="40"/>
        <v/>
      </c>
      <c r="G85" s="8" t="str">
        <f t="shared" ca="1" si="41"/>
        <v/>
      </c>
      <c r="H85" s="10" t="str">
        <f t="shared" ca="1" si="42"/>
        <v/>
      </c>
      <c r="I85" s="10" t="str">
        <f t="shared" ca="1" si="43"/>
        <v/>
      </c>
      <c r="J85" s="10" t="str">
        <f t="shared" ca="1" si="44"/>
        <v/>
      </c>
      <c r="K85" s="10" t="str">
        <f t="shared" ca="1" si="45"/>
        <v/>
      </c>
      <c r="L85" s="22" t="str">
        <f t="shared" ca="1" si="46"/>
        <v/>
      </c>
      <c r="M85" s="11" t="str">
        <f t="shared" ca="1" si="47"/>
        <v/>
      </c>
    </row>
    <row r="86" spans="2:13" hidden="1" x14ac:dyDescent="0.25">
      <c r="B86" s="12" t="str">
        <f t="shared" ca="1" si="36"/>
        <v/>
      </c>
      <c r="C86" s="12" t="str">
        <f t="shared" ca="1" si="37"/>
        <v/>
      </c>
      <c r="D86" s="12" t="str">
        <f t="shared" ca="1" si="39"/>
        <v/>
      </c>
      <c r="E86" s="7" t="str">
        <f t="shared" ca="1" si="38"/>
        <v/>
      </c>
      <c r="F86" s="9" t="str">
        <f t="shared" ca="1" si="40"/>
        <v/>
      </c>
      <c r="G86" s="8" t="str">
        <f t="shared" ca="1" si="41"/>
        <v/>
      </c>
      <c r="H86" s="10" t="str">
        <f t="shared" ca="1" si="42"/>
        <v/>
      </c>
      <c r="I86" s="10" t="str">
        <f t="shared" ca="1" si="43"/>
        <v/>
      </c>
      <c r="J86" s="10" t="str">
        <f t="shared" ca="1" si="44"/>
        <v/>
      </c>
      <c r="K86" s="10" t="str">
        <f t="shared" ca="1" si="45"/>
        <v/>
      </c>
      <c r="L86" s="22" t="str">
        <f t="shared" ca="1" si="46"/>
        <v/>
      </c>
      <c r="M86" s="11" t="str">
        <f t="shared" ca="1" si="47"/>
        <v/>
      </c>
    </row>
    <row r="87" spans="2:13" hidden="1" x14ac:dyDescent="0.25">
      <c r="B87" s="12" t="str">
        <f t="shared" ca="1" si="36"/>
        <v/>
      </c>
      <c r="C87" s="12" t="str">
        <f t="shared" ca="1" si="37"/>
        <v/>
      </c>
      <c r="D87" s="12" t="str">
        <f t="shared" ca="1" si="39"/>
        <v/>
      </c>
      <c r="E87" s="7" t="str">
        <f t="shared" ca="1" si="38"/>
        <v/>
      </c>
      <c r="F87" s="9" t="str">
        <f t="shared" ca="1" si="40"/>
        <v/>
      </c>
      <c r="G87" s="8" t="str">
        <f t="shared" ca="1" si="41"/>
        <v/>
      </c>
      <c r="H87" s="10" t="str">
        <f t="shared" ca="1" si="42"/>
        <v/>
      </c>
      <c r="I87" s="10" t="str">
        <f t="shared" ca="1" si="43"/>
        <v/>
      </c>
      <c r="J87" s="10" t="str">
        <f t="shared" ca="1" si="44"/>
        <v/>
      </c>
      <c r="K87" s="10" t="str">
        <f t="shared" ca="1" si="45"/>
        <v/>
      </c>
      <c r="L87" s="22" t="str">
        <f t="shared" ca="1" si="46"/>
        <v/>
      </c>
      <c r="M87" s="11" t="str">
        <f t="shared" ca="1" si="47"/>
        <v/>
      </c>
    </row>
    <row r="88" spans="2:13" hidden="1" x14ac:dyDescent="0.25">
      <c r="B88" s="12" t="str">
        <f t="shared" ca="1" si="36"/>
        <v/>
      </c>
      <c r="C88" s="12" t="str">
        <f t="shared" ca="1" si="37"/>
        <v/>
      </c>
      <c r="D88" s="12" t="str">
        <f t="shared" ca="1" si="39"/>
        <v/>
      </c>
      <c r="E88" s="7" t="str">
        <f t="shared" ca="1" si="38"/>
        <v/>
      </c>
      <c r="F88" s="9" t="str">
        <f t="shared" ca="1" si="40"/>
        <v/>
      </c>
      <c r="G88" s="8" t="str">
        <f t="shared" ca="1" si="41"/>
        <v/>
      </c>
      <c r="H88" s="10" t="str">
        <f t="shared" ca="1" si="42"/>
        <v/>
      </c>
      <c r="I88" s="10" t="str">
        <f t="shared" ca="1" si="43"/>
        <v/>
      </c>
      <c r="J88" s="10" t="str">
        <f t="shared" ca="1" si="44"/>
        <v/>
      </c>
      <c r="K88" s="10" t="str">
        <f t="shared" ca="1" si="45"/>
        <v/>
      </c>
      <c r="L88" s="22" t="str">
        <f t="shared" ca="1" si="46"/>
        <v/>
      </c>
      <c r="M88" s="11" t="str">
        <f t="shared" ca="1" si="47"/>
        <v/>
      </c>
    </row>
    <row r="89" spans="2:13" hidden="1" x14ac:dyDescent="0.25">
      <c r="B89" s="12" t="str">
        <f t="shared" ca="1" si="36"/>
        <v/>
      </c>
      <c r="C89" s="12" t="str">
        <f t="shared" ca="1" si="37"/>
        <v/>
      </c>
      <c r="D89" s="12" t="str">
        <f t="shared" ca="1" si="39"/>
        <v/>
      </c>
      <c r="E89" s="7" t="str">
        <f t="shared" ca="1" si="38"/>
        <v/>
      </c>
      <c r="F89" s="9" t="str">
        <f t="shared" ca="1" si="40"/>
        <v/>
      </c>
      <c r="G89" s="8" t="str">
        <f t="shared" ca="1" si="41"/>
        <v/>
      </c>
      <c r="H89" s="10" t="str">
        <f t="shared" ca="1" si="42"/>
        <v/>
      </c>
      <c r="I89" s="10" t="str">
        <f t="shared" ca="1" si="43"/>
        <v/>
      </c>
      <c r="J89" s="10" t="str">
        <f t="shared" ca="1" si="44"/>
        <v/>
      </c>
      <c r="K89" s="10" t="str">
        <f t="shared" ca="1" si="45"/>
        <v/>
      </c>
      <c r="L89" s="22" t="str">
        <f t="shared" ca="1" si="46"/>
        <v/>
      </c>
      <c r="M89" s="11" t="str">
        <f t="shared" ca="1" si="47"/>
        <v/>
      </c>
    </row>
    <row r="90" spans="2:13" hidden="1" x14ac:dyDescent="0.25">
      <c r="B90" s="12" t="str">
        <f t="shared" ca="1" si="36"/>
        <v/>
      </c>
      <c r="C90" s="12" t="str">
        <f t="shared" ca="1" si="37"/>
        <v/>
      </c>
      <c r="D90" s="12" t="str">
        <f t="shared" ca="1" si="39"/>
        <v/>
      </c>
      <c r="E90" s="7" t="str">
        <f t="shared" ca="1" si="38"/>
        <v/>
      </c>
      <c r="F90" s="9" t="str">
        <f t="shared" ca="1" si="40"/>
        <v/>
      </c>
      <c r="G90" s="8" t="str">
        <f t="shared" ca="1" si="41"/>
        <v/>
      </c>
      <c r="H90" s="10" t="str">
        <f t="shared" ca="1" si="42"/>
        <v/>
      </c>
      <c r="I90" s="10" t="str">
        <f t="shared" ca="1" si="43"/>
        <v/>
      </c>
      <c r="J90" s="10" t="str">
        <f t="shared" ca="1" si="44"/>
        <v/>
      </c>
      <c r="K90" s="10" t="str">
        <f t="shared" ca="1" si="45"/>
        <v/>
      </c>
      <c r="L90" s="22" t="str">
        <f t="shared" ca="1" si="46"/>
        <v/>
      </c>
      <c r="M90" s="11" t="str">
        <f t="shared" ca="1" si="47"/>
        <v/>
      </c>
    </row>
    <row r="91" spans="2:13" hidden="1" x14ac:dyDescent="0.25">
      <c r="B91" s="12" t="str">
        <f t="shared" ca="1" si="36"/>
        <v/>
      </c>
      <c r="C91" s="12" t="str">
        <f t="shared" ca="1" si="37"/>
        <v/>
      </c>
      <c r="D91" s="12" t="str">
        <f t="shared" ca="1" si="39"/>
        <v/>
      </c>
      <c r="E91" s="7" t="str">
        <f t="shared" ca="1" si="38"/>
        <v/>
      </c>
      <c r="F91" s="9" t="str">
        <f t="shared" ca="1" si="40"/>
        <v/>
      </c>
      <c r="G91" s="8" t="str">
        <f t="shared" ca="1" si="41"/>
        <v/>
      </c>
      <c r="H91" s="10" t="str">
        <f t="shared" ca="1" si="42"/>
        <v/>
      </c>
      <c r="I91" s="10" t="str">
        <f t="shared" ca="1" si="43"/>
        <v/>
      </c>
      <c r="J91" s="10" t="str">
        <f t="shared" ca="1" si="44"/>
        <v/>
      </c>
      <c r="K91" s="10" t="str">
        <f t="shared" ca="1" si="45"/>
        <v/>
      </c>
      <c r="L91" s="22" t="str">
        <f t="shared" ca="1" si="46"/>
        <v/>
      </c>
      <c r="M91" s="11" t="str">
        <f t="shared" ca="1" si="47"/>
        <v/>
      </c>
    </row>
    <row r="92" spans="2:13" hidden="1" x14ac:dyDescent="0.25">
      <c r="B92" s="12" t="str">
        <f t="shared" ca="1" si="36"/>
        <v/>
      </c>
      <c r="C92" s="12" t="str">
        <f t="shared" ca="1" si="37"/>
        <v/>
      </c>
      <c r="D92" s="12" t="str">
        <f t="shared" ca="1" si="39"/>
        <v/>
      </c>
      <c r="E92" s="7" t="str">
        <f t="shared" ca="1" si="38"/>
        <v/>
      </c>
      <c r="F92" s="9" t="str">
        <f t="shared" ca="1" si="40"/>
        <v/>
      </c>
      <c r="G92" s="8" t="str">
        <f t="shared" ca="1" si="41"/>
        <v/>
      </c>
      <c r="H92" s="10" t="str">
        <f t="shared" ca="1" si="42"/>
        <v/>
      </c>
      <c r="I92" s="10" t="str">
        <f t="shared" ca="1" si="43"/>
        <v/>
      </c>
      <c r="J92" s="10" t="str">
        <f t="shared" ca="1" si="44"/>
        <v/>
      </c>
      <c r="K92" s="10" t="str">
        <f t="shared" ca="1" si="45"/>
        <v/>
      </c>
      <c r="L92" s="22" t="str">
        <f t="shared" ca="1" si="46"/>
        <v/>
      </c>
      <c r="M92" s="11" t="str">
        <f t="shared" ca="1" si="47"/>
        <v/>
      </c>
    </row>
    <row r="93" spans="2:13" hidden="1" x14ac:dyDescent="0.25">
      <c r="B93" s="12" t="str">
        <f t="shared" ca="1" si="36"/>
        <v/>
      </c>
      <c r="C93" s="12" t="str">
        <f t="shared" ca="1" si="37"/>
        <v/>
      </c>
      <c r="D93" s="12" t="str">
        <f t="shared" ca="1" si="39"/>
        <v/>
      </c>
      <c r="E93" s="7" t="str">
        <f t="shared" ca="1" si="38"/>
        <v/>
      </c>
      <c r="F93" s="9" t="str">
        <f t="shared" ca="1" si="40"/>
        <v/>
      </c>
      <c r="G93" s="8" t="str">
        <f t="shared" ca="1" si="41"/>
        <v/>
      </c>
      <c r="H93" s="10" t="str">
        <f t="shared" ca="1" si="42"/>
        <v/>
      </c>
      <c r="I93" s="10" t="str">
        <f t="shared" ca="1" si="43"/>
        <v/>
      </c>
      <c r="J93" s="10" t="str">
        <f t="shared" ca="1" si="44"/>
        <v/>
      </c>
      <c r="K93" s="10" t="str">
        <f t="shared" ca="1" si="45"/>
        <v/>
      </c>
      <c r="L93" s="22" t="str">
        <f t="shared" ca="1" si="46"/>
        <v/>
      </c>
      <c r="M93" s="11" t="str">
        <f t="shared" ca="1" si="47"/>
        <v/>
      </c>
    </row>
    <row r="94" spans="2:13" hidden="1" x14ac:dyDescent="0.25">
      <c r="B94" s="12" t="str">
        <f t="shared" ca="1" si="36"/>
        <v/>
      </c>
      <c r="C94" s="12" t="str">
        <f t="shared" ca="1" si="37"/>
        <v/>
      </c>
      <c r="D94" s="12" t="str">
        <f t="shared" ca="1" si="39"/>
        <v/>
      </c>
      <c r="E94" s="7" t="str">
        <f t="shared" ca="1" si="38"/>
        <v/>
      </c>
      <c r="F94" s="9" t="str">
        <f t="shared" ca="1" si="40"/>
        <v/>
      </c>
      <c r="G94" s="8" t="str">
        <f t="shared" ca="1" si="41"/>
        <v/>
      </c>
      <c r="H94" s="10" t="str">
        <f t="shared" ca="1" si="42"/>
        <v/>
      </c>
      <c r="I94" s="10" t="str">
        <f t="shared" ca="1" si="43"/>
        <v/>
      </c>
      <c r="J94" s="10" t="str">
        <f t="shared" ca="1" si="44"/>
        <v/>
      </c>
      <c r="K94" s="10" t="str">
        <f t="shared" ca="1" si="45"/>
        <v/>
      </c>
      <c r="L94" s="22" t="str">
        <f t="shared" ca="1" si="46"/>
        <v/>
      </c>
      <c r="M94" s="11" t="str">
        <f t="shared" ca="1" si="47"/>
        <v/>
      </c>
    </row>
    <row r="95" spans="2:13" hidden="1" x14ac:dyDescent="0.25">
      <c r="B95" s="12" t="str">
        <f t="shared" ca="1" si="36"/>
        <v/>
      </c>
      <c r="C95" s="12" t="str">
        <f t="shared" ca="1" si="37"/>
        <v/>
      </c>
      <c r="D95" s="12" t="str">
        <f t="shared" ca="1" si="39"/>
        <v/>
      </c>
      <c r="E95" s="7" t="str">
        <f t="shared" ca="1" si="38"/>
        <v/>
      </c>
      <c r="F95" s="9" t="str">
        <f t="shared" ca="1" si="40"/>
        <v/>
      </c>
      <c r="G95" s="8" t="str">
        <f t="shared" ca="1" si="41"/>
        <v/>
      </c>
      <c r="H95" s="10" t="str">
        <f t="shared" ca="1" si="42"/>
        <v/>
      </c>
      <c r="I95" s="10" t="str">
        <f t="shared" ca="1" si="43"/>
        <v/>
      </c>
      <c r="J95" s="10" t="str">
        <f t="shared" ca="1" si="44"/>
        <v/>
      </c>
      <c r="K95" s="10" t="str">
        <f t="shared" ca="1" si="45"/>
        <v/>
      </c>
      <c r="L95" s="22" t="str">
        <f t="shared" ca="1" si="46"/>
        <v/>
      </c>
      <c r="M95" s="11" t="str">
        <f t="shared" ca="1" si="47"/>
        <v/>
      </c>
    </row>
    <row r="96" spans="2:13" hidden="1" x14ac:dyDescent="0.25">
      <c r="B96" s="12" t="str">
        <f t="shared" ca="1" si="36"/>
        <v/>
      </c>
      <c r="C96" s="12" t="str">
        <f t="shared" ca="1" si="37"/>
        <v/>
      </c>
      <c r="D96" s="12" t="str">
        <f t="shared" ca="1" si="39"/>
        <v/>
      </c>
      <c r="E96" s="7" t="str">
        <f t="shared" ca="1" si="38"/>
        <v/>
      </c>
      <c r="F96" s="9" t="str">
        <f t="shared" ca="1" si="40"/>
        <v/>
      </c>
      <c r="G96" s="8" t="str">
        <f t="shared" ca="1" si="41"/>
        <v/>
      </c>
      <c r="H96" s="10" t="str">
        <f t="shared" ca="1" si="42"/>
        <v/>
      </c>
      <c r="I96" s="10" t="str">
        <f t="shared" ca="1" si="43"/>
        <v/>
      </c>
      <c r="J96" s="10" t="str">
        <f t="shared" ca="1" si="44"/>
        <v/>
      </c>
      <c r="K96" s="10" t="str">
        <f t="shared" ca="1" si="45"/>
        <v/>
      </c>
      <c r="L96" s="22" t="str">
        <f t="shared" ca="1" si="46"/>
        <v/>
      </c>
      <c r="M96" s="11" t="str">
        <f t="shared" ca="1" si="47"/>
        <v/>
      </c>
    </row>
    <row r="97" spans="2:13" hidden="1" x14ac:dyDescent="0.25">
      <c r="B97" s="12" t="str">
        <f t="shared" ca="1" si="36"/>
        <v/>
      </c>
      <c r="C97" s="12" t="str">
        <f t="shared" ca="1" si="37"/>
        <v/>
      </c>
      <c r="D97" s="12" t="str">
        <f t="shared" ca="1" si="39"/>
        <v/>
      </c>
      <c r="E97" s="7" t="str">
        <f t="shared" ca="1" si="38"/>
        <v/>
      </c>
      <c r="F97" s="9" t="str">
        <f t="shared" ca="1" si="40"/>
        <v/>
      </c>
      <c r="G97" s="8" t="str">
        <f t="shared" ca="1" si="41"/>
        <v/>
      </c>
      <c r="H97" s="10" t="str">
        <f t="shared" ca="1" si="42"/>
        <v/>
      </c>
      <c r="I97" s="10" t="str">
        <f t="shared" ca="1" si="43"/>
        <v/>
      </c>
      <c r="J97" s="10" t="str">
        <f t="shared" ca="1" si="44"/>
        <v/>
      </c>
      <c r="K97" s="10" t="str">
        <f t="shared" ca="1" si="45"/>
        <v/>
      </c>
      <c r="L97" s="22" t="str">
        <f t="shared" ca="1" si="46"/>
        <v/>
      </c>
      <c r="M97" s="11" t="str">
        <f t="shared" ca="1" si="47"/>
        <v/>
      </c>
    </row>
    <row r="98" spans="2:13" hidden="1" x14ac:dyDescent="0.25">
      <c r="B98" s="12" t="str">
        <f t="shared" ca="1" si="36"/>
        <v/>
      </c>
      <c r="C98" s="12" t="str">
        <f t="shared" ca="1" si="37"/>
        <v/>
      </c>
      <c r="D98" s="12" t="str">
        <f t="shared" ca="1" si="39"/>
        <v/>
      </c>
      <c r="E98" s="7" t="str">
        <f t="shared" ca="1" si="38"/>
        <v/>
      </c>
      <c r="F98" s="9" t="str">
        <f t="shared" ca="1" si="40"/>
        <v/>
      </c>
      <c r="G98" s="8" t="str">
        <f t="shared" ca="1" si="41"/>
        <v/>
      </c>
      <c r="H98" s="10" t="str">
        <f t="shared" ca="1" si="42"/>
        <v/>
      </c>
      <c r="I98" s="10" t="str">
        <f t="shared" ca="1" si="43"/>
        <v/>
      </c>
      <c r="J98" s="10" t="str">
        <f t="shared" ca="1" si="44"/>
        <v/>
      </c>
      <c r="K98" s="10" t="str">
        <f t="shared" ca="1" si="45"/>
        <v/>
      </c>
      <c r="L98" s="22" t="str">
        <f t="shared" ca="1" si="46"/>
        <v/>
      </c>
      <c r="M98" s="11" t="str">
        <f t="shared" ca="1" si="47"/>
        <v/>
      </c>
    </row>
    <row r="99" spans="2:13" hidden="1" x14ac:dyDescent="0.25">
      <c r="B99" s="12" t="str">
        <f t="shared" ca="1" si="36"/>
        <v/>
      </c>
      <c r="C99" s="12" t="str">
        <f t="shared" ca="1" si="37"/>
        <v/>
      </c>
      <c r="D99" s="12" t="str">
        <f t="shared" ca="1" si="39"/>
        <v/>
      </c>
      <c r="E99" s="7" t="str">
        <f t="shared" ca="1" si="38"/>
        <v/>
      </c>
      <c r="F99" s="9" t="str">
        <f t="shared" ca="1" si="40"/>
        <v/>
      </c>
      <c r="G99" s="8" t="str">
        <f t="shared" ca="1" si="41"/>
        <v/>
      </c>
      <c r="H99" s="10" t="str">
        <f t="shared" ca="1" si="42"/>
        <v/>
      </c>
      <c r="I99" s="10" t="str">
        <f t="shared" ca="1" si="43"/>
        <v/>
      </c>
      <c r="J99" s="10" t="str">
        <f t="shared" ca="1" si="44"/>
        <v/>
      </c>
      <c r="K99" s="10" t="str">
        <f t="shared" ca="1" si="45"/>
        <v/>
      </c>
      <c r="L99" s="22" t="str">
        <f t="shared" ca="1" si="46"/>
        <v/>
      </c>
      <c r="M99" s="11" t="str">
        <f t="shared" ca="1" si="47"/>
        <v/>
      </c>
    </row>
    <row r="100" spans="2:13" hidden="1" x14ac:dyDescent="0.25">
      <c r="B100" s="12" t="str">
        <f t="shared" ca="1" si="36"/>
        <v/>
      </c>
      <c r="C100" s="12" t="str">
        <f t="shared" ca="1" si="37"/>
        <v/>
      </c>
      <c r="D100" s="12" t="str">
        <f t="shared" ca="1" si="39"/>
        <v/>
      </c>
      <c r="E100" s="7" t="str">
        <f t="shared" ca="1" si="38"/>
        <v/>
      </c>
      <c r="F100" s="9" t="str">
        <f t="shared" ca="1" si="40"/>
        <v/>
      </c>
      <c r="G100" s="8" t="str">
        <f t="shared" ca="1" si="41"/>
        <v/>
      </c>
      <c r="H100" s="10" t="str">
        <f t="shared" ca="1" si="42"/>
        <v/>
      </c>
      <c r="I100" s="10" t="str">
        <f t="shared" ca="1" si="43"/>
        <v/>
      </c>
      <c r="J100" s="10" t="str">
        <f t="shared" ca="1" si="44"/>
        <v/>
      </c>
      <c r="K100" s="10" t="str">
        <f t="shared" ca="1" si="45"/>
        <v/>
      </c>
      <c r="L100" s="22" t="str">
        <f t="shared" ca="1" si="46"/>
        <v/>
      </c>
      <c r="M100" s="11" t="str">
        <f t="shared" ca="1" si="47"/>
        <v/>
      </c>
    </row>
    <row r="101" spans="2:13" hidden="1" x14ac:dyDescent="0.25">
      <c r="B101" s="12" t="str">
        <f t="shared" ca="1" si="36"/>
        <v/>
      </c>
      <c r="C101" s="12" t="str">
        <f t="shared" ca="1" si="37"/>
        <v/>
      </c>
      <c r="D101" s="12" t="str">
        <f t="shared" ca="1" si="39"/>
        <v/>
      </c>
      <c r="E101" s="7" t="str">
        <f t="shared" ca="1" si="38"/>
        <v/>
      </c>
      <c r="F101" s="9" t="str">
        <f t="shared" ca="1" si="40"/>
        <v/>
      </c>
      <c r="G101" s="8" t="str">
        <f t="shared" ca="1" si="41"/>
        <v/>
      </c>
      <c r="H101" s="10" t="str">
        <f t="shared" ca="1" si="42"/>
        <v/>
      </c>
      <c r="I101" s="10" t="str">
        <f t="shared" ca="1" si="43"/>
        <v/>
      </c>
      <c r="J101" s="10" t="str">
        <f t="shared" ca="1" si="44"/>
        <v/>
      </c>
      <c r="K101" s="10" t="str">
        <f t="shared" ca="1" si="45"/>
        <v/>
      </c>
      <c r="L101" s="22" t="str">
        <f t="shared" ca="1" si="46"/>
        <v/>
      </c>
      <c r="M101" s="11" t="str">
        <f t="shared" ca="1" si="47"/>
        <v/>
      </c>
    </row>
    <row r="102" spans="2:13" hidden="1" x14ac:dyDescent="0.25">
      <c r="B102" s="12" t="str">
        <f t="shared" ca="1" si="36"/>
        <v/>
      </c>
      <c r="C102" s="12" t="str">
        <f t="shared" ca="1" si="37"/>
        <v/>
      </c>
      <c r="D102" s="12" t="str">
        <f t="shared" ca="1" si="39"/>
        <v/>
      </c>
      <c r="E102" s="7" t="str">
        <f t="shared" ca="1" si="38"/>
        <v/>
      </c>
      <c r="F102" s="9" t="str">
        <f t="shared" ca="1" si="40"/>
        <v/>
      </c>
      <c r="G102" s="8" t="str">
        <f t="shared" ca="1" si="41"/>
        <v/>
      </c>
      <c r="H102" s="10" t="str">
        <f t="shared" ca="1" si="42"/>
        <v/>
      </c>
      <c r="I102" s="10" t="str">
        <f t="shared" ca="1" si="43"/>
        <v/>
      </c>
      <c r="J102" s="10" t="str">
        <f t="shared" ca="1" si="44"/>
        <v/>
      </c>
      <c r="K102" s="10" t="str">
        <f t="shared" ca="1" si="45"/>
        <v/>
      </c>
      <c r="L102" s="22" t="str">
        <f t="shared" ca="1" si="46"/>
        <v/>
      </c>
      <c r="M102" s="11" t="str">
        <f t="shared" ca="1" si="47"/>
        <v/>
      </c>
    </row>
    <row r="103" spans="2:13" hidden="1" x14ac:dyDescent="0.25">
      <c r="B103" s="12" t="str">
        <f t="shared" ca="1" si="36"/>
        <v/>
      </c>
      <c r="C103" s="12" t="str">
        <f t="shared" ca="1" si="37"/>
        <v/>
      </c>
      <c r="D103" s="12" t="str">
        <f t="shared" ca="1" si="39"/>
        <v/>
      </c>
      <c r="E103" s="7" t="str">
        <f t="shared" ca="1" si="38"/>
        <v/>
      </c>
      <c r="F103" s="9" t="str">
        <f t="shared" ca="1" si="40"/>
        <v/>
      </c>
      <c r="G103" s="8" t="str">
        <f t="shared" ca="1" si="41"/>
        <v/>
      </c>
      <c r="H103" s="10" t="str">
        <f t="shared" ca="1" si="42"/>
        <v/>
      </c>
      <c r="I103" s="10" t="str">
        <f t="shared" ca="1" si="43"/>
        <v/>
      </c>
      <c r="J103" s="10" t="str">
        <f t="shared" ca="1" si="44"/>
        <v/>
      </c>
      <c r="K103" s="10" t="str">
        <f t="shared" ca="1" si="45"/>
        <v/>
      </c>
      <c r="L103" s="22" t="str">
        <f t="shared" ca="1" si="46"/>
        <v/>
      </c>
      <c r="M103" s="11" t="str">
        <f t="shared" ca="1" si="47"/>
        <v/>
      </c>
    </row>
    <row r="104" spans="2:13" hidden="1" x14ac:dyDescent="0.25">
      <c r="B104" s="12" t="str">
        <f t="shared" ca="1" si="36"/>
        <v/>
      </c>
      <c r="C104" s="12" t="str">
        <f t="shared" ca="1" si="37"/>
        <v/>
      </c>
      <c r="D104" s="12" t="str">
        <f t="shared" ca="1" si="39"/>
        <v/>
      </c>
      <c r="E104" s="7" t="str">
        <f t="shared" ca="1" si="38"/>
        <v/>
      </c>
      <c r="F104" s="9" t="str">
        <f t="shared" ca="1" si="40"/>
        <v/>
      </c>
      <c r="G104" s="8" t="str">
        <f t="shared" ca="1" si="41"/>
        <v/>
      </c>
      <c r="H104" s="10" t="str">
        <f t="shared" ca="1" si="42"/>
        <v/>
      </c>
      <c r="I104" s="10" t="str">
        <f t="shared" ca="1" si="43"/>
        <v/>
      </c>
      <c r="J104" s="10" t="str">
        <f t="shared" ca="1" si="44"/>
        <v/>
      </c>
      <c r="K104" s="10" t="str">
        <f t="shared" ca="1" si="45"/>
        <v/>
      </c>
      <c r="L104" s="22" t="str">
        <f t="shared" ca="1" si="46"/>
        <v/>
      </c>
      <c r="M104" s="11" t="str">
        <f t="shared" ca="1" si="47"/>
        <v/>
      </c>
    </row>
    <row r="105" spans="2:13" hidden="1" x14ac:dyDescent="0.25">
      <c r="B105" s="12" t="str">
        <f t="shared" ca="1" si="36"/>
        <v/>
      </c>
      <c r="C105" s="12" t="str">
        <f t="shared" ca="1" si="37"/>
        <v/>
      </c>
      <c r="D105" s="12" t="str">
        <f t="shared" ca="1" si="39"/>
        <v/>
      </c>
      <c r="E105" s="7" t="str">
        <f t="shared" ca="1" si="38"/>
        <v/>
      </c>
      <c r="F105" s="9" t="str">
        <f t="shared" ca="1" si="40"/>
        <v/>
      </c>
      <c r="G105" s="8" t="str">
        <f t="shared" ca="1" si="41"/>
        <v/>
      </c>
      <c r="H105" s="10" t="str">
        <f t="shared" ca="1" si="42"/>
        <v/>
      </c>
      <c r="I105" s="10" t="str">
        <f t="shared" ca="1" si="43"/>
        <v/>
      </c>
      <c r="J105" s="10" t="str">
        <f t="shared" ca="1" si="44"/>
        <v/>
      </c>
      <c r="K105" s="10" t="str">
        <f t="shared" ca="1" si="45"/>
        <v/>
      </c>
      <c r="L105" s="22" t="str">
        <f t="shared" ca="1" si="46"/>
        <v/>
      </c>
      <c r="M105" s="11" t="str">
        <f t="shared" ca="1" si="47"/>
        <v/>
      </c>
    </row>
    <row r="106" spans="2:13" hidden="1" x14ac:dyDescent="0.25">
      <c r="B106" s="12" t="str">
        <f t="shared" ca="1" si="36"/>
        <v/>
      </c>
      <c r="C106" s="12" t="str">
        <f t="shared" ca="1" si="37"/>
        <v/>
      </c>
      <c r="D106" s="12" t="str">
        <f t="shared" ca="1" si="39"/>
        <v/>
      </c>
      <c r="E106" s="7" t="str">
        <f t="shared" ca="1" si="38"/>
        <v/>
      </c>
      <c r="F106" s="9" t="str">
        <f t="shared" ca="1" si="40"/>
        <v/>
      </c>
      <c r="G106" s="8" t="str">
        <f t="shared" ca="1" si="41"/>
        <v/>
      </c>
      <c r="H106" s="10" t="str">
        <f t="shared" ca="1" si="42"/>
        <v/>
      </c>
      <c r="I106" s="10" t="str">
        <f t="shared" ca="1" si="43"/>
        <v/>
      </c>
      <c r="J106" s="10" t="str">
        <f t="shared" ca="1" si="44"/>
        <v/>
      </c>
      <c r="K106" s="10" t="str">
        <f t="shared" ca="1" si="45"/>
        <v/>
      </c>
      <c r="L106" s="22" t="str">
        <f t="shared" ca="1" si="46"/>
        <v/>
      </c>
      <c r="M106" s="11" t="str">
        <f t="shared" ca="1" si="47"/>
        <v/>
      </c>
    </row>
    <row r="107" spans="2:13" hidden="1" x14ac:dyDescent="0.25">
      <c r="B107" s="12" t="str">
        <f t="shared" ca="1" si="36"/>
        <v/>
      </c>
      <c r="C107" s="12" t="str">
        <f t="shared" ca="1" si="37"/>
        <v/>
      </c>
      <c r="D107" s="12" t="str">
        <f t="shared" ca="1" si="39"/>
        <v/>
      </c>
      <c r="E107" s="7" t="str">
        <f t="shared" ca="1" si="38"/>
        <v/>
      </c>
      <c r="F107" s="9" t="str">
        <f t="shared" ca="1" si="40"/>
        <v/>
      </c>
      <c r="G107" s="8" t="str">
        <f t="shared" ca="1" si="41"/>
        <v/>
      </c>
      <c r="H107" s="10" t="str">
        <f t="shared" ca="1" si="42"/>
        <v/>
      </c>
      <c r="I107" s="10" t="str">
        <f t="shared" ca="1" si="43"/>
        <v/>
      </c>
      <c r="J107" s="10" t="str">
        <f t="shared" ca="1" si="44"/>
        <v/>
      </c>
      <c r="K107" s="10" t="str">
        <f t="shared" ca="1" si="45"/>
        <v/>
      </c>
      <c r="L107" s="22" t="str">
        <f t="shared" ca="1" si="46"/>
        <v/>
      </c>
      <c r="M107" s="11" t="str">
        <f t="shared" ca="1" si="47"/>
        <v/>
      </c>
    </row>
    <row r="108" spans="2:13" hidden="1" x14ac:dyDescent="0.25">
      <c r="B108" s="12" t="str">
        <f t="shared" ca="1" si="36"/>
        <v/>
      </c>
      <c r="C108" s="12" t="str">
        <f t="shared" ca="1" si="37"/>
        <v/>
      </c>
      <c r="D108" s="12" t="str">
        <f t="shared" ca="1" si="39"/>
        <v/>
      </c>
      <c r="E108" s="7" t="str">
        <f t="shared" ca="1" si="38"/>
        <v/>
      </c>
      <c r="F108" s="9" t="str">
        <f t="shared" ca="1" si="40"/>
        <v/>
      </c>
      <c r="G108" s="8" t="str">
        <f t="shared" ca="1" si="41"/>
        <v/>
      </c>
      <c r="H108" s="10" t="str">
        <f t="shared" ca="1" si="42"/>
        <v/>
      </c>
      <c r="I108" s="10" t="str">
        <f t="shared" ca="1" si="43"/>
        <v/>
      </c>
      <c r="J108" s="10" t="str">
        <f t="shared" ca="1" si="44"/>
        <v/>
      </c>
      <c r="K108" s="10" t="str">
        <f t="shared" ca="1" si="45"/>
        <v/>
      </c>
      <c r="L108" s="22" t="str">
        <f t="shared" ca="1" si="46"/>
        <v/>
      </c>
      <c r="M108" s="11" t="str">
        <f t="shared" ca="1" si="47"/>
        <v/>
      </c>
    </row>
    <row r="109" spans="2:13" hidden="1" x14ac:dyDescent="0.25">
      <c r="B109" s="12" t="str">
        <f t="shared" ca="1" si="36"/>
        <v/>
      </c>
      <c r="C109" s="12" t="str">
        <f t="shared" ca="1" si="37"/>
        <v/>
      </c>
      <c r="D109" s="12" t="str">
        <f t="shared" ca="1" si="39"/>
        <v/>
      </c>
      <c r="E109" s="7" t="str">
        <f t="shared" ca="1" si="38"/>
        <v/>
      </c>
      <c r="F109" s="9" t="str">
        <f t="shared" ca="1" si="40"/>
        <v/>
      </c>
      <c r="G109" s="8" t="str">
        <f t="shared" ca="1" si="41"/>
        <v/>
      </c>
      <c r="H109" s="10" t="str">
        <f t="shared" ca="1" si="42"/>
        <v/>
      </c>
      <c r="I109" s="10" t="str">
        <f t="shared" ca="1" si="43"/>
        <v/>
      </c>
      <c r="J109" s="10" t="str">
        <f t="shared" ca="1" si="44"/>
        <v/>
      </c>
      <c r="K109" s="10" t="str">
        <f t="shared" ca="1" si="45"/>
        <v/>
      </c>
      <c r="L109" s="22" t="str">
        <f t="shared" ca="1" si="46"/>
        <v/>
      </c>
      <c r="M109" s="11" t="str">
        <f t="shared" ca="1" si="47"/>
        <v/>
      </c>
    </row>
    <row r="110" spans="2:13" hidden="1" x14ac:dyDescent="0.25">
      <c r="B110" s="12" t="str">
        <f t="shared" ref="B110:B120" ca="1" si="48">IFERROR(RANK(M110,$M$14:$M$164,0),"")</f>
        <v/>
      </c>
      <c r="C110" s="12" t="str">
        <f t="shared" ref="C110:C120" ca="1" si="49">IFERROR(RANK(K110,$K$14:$K$164,0),"")</f>
        <v/>
      </c>
      <c r="D110" s="12" t="str">
        <f t="shared" ca="1" si="39"/>
        <v/>
      </c>
      <c r="E110" s="7" t="str">
        <f t="shared" ca="1" si="38"/>
        <v/>
      </c>
      <c r="F110" s="9" t="str">
        <f t="shared" ca="1" si="40"/>
        <v/>
      </c>
      <c r="G110" s="8" t="str">
        <f t="shared" ca="1" si="41"/>
        <v/>
      </c>
      <c r="H110" s="10" t="str">
        <f t="shared" ca="1" si="42"/>
        <v/>
      </c>
      <c r="I110" s="10" t="str">
        <f t="shared" ca="1" si="43"/>
        <v/>
      </c>
      <c r="J110" s="10" t="str">
        <f t="shared" ca="1" si="44"/>
        <v/>
      </c>
      <c r="K110" s="10" t="str">
        <f t="shared" ca="1" si="45"/>
        <v/>
      </c>
      <c r="L110" s="22" t="str">
        <f t="shared" ca="1" si="46"/>
        <v/>
      </c>
      <c r="M110" s="11" t="str">
        <f t="shared" ca="1" si="47"/>
        <v/>
      </c>
    </row>
    <row r="111" spans="2:13" hidden="1" x14ac:dyDescent="0.25">
      <c r="B111" s="12" t="str">
        <f t="shared" ca="1" si="48"/>
        <v/>
      </c>
      <c r="C111" s="12" t="str">
        <f t="shared" ca="1" si="49"/>
        <v/>
      </c>
      <c r="D111" s="12" t="str">
        <f t="shared" ca="1" si="39"/>
        <v/>
      </c>
      <c r="E111" s="7" t="str">
        <f t="shared" ca="1" si="38"/>
        <v/>
      </c>
      <c r="F111" s="9" t="str">
        <f t="shared" ca="1" si="40"/>
        <v/>
      </c>
      <c r="G111" s="8" t="str">
        <f t="shared" ca="1" si="41"/>
        <v/>
      </c>
      <c r="H111" s="10" t="str">
        <f t="shared" ca="1" si="42"/>
        <v/>
      </c>
      <c r="I111" s="10" t="str">
        <f t="shared" ca="1" si="43"/>
        <v/>
      </c>
      <c r="J111" s="10" t="str">
        <f t="shared" ca="1" si="44"/>
        <v/>
      </c>
      <c r="K111" s="10" t="str">
        <f t="shared" ca="1" si="45"/>
        <v/>
      </c>
      <c r="L111" s="22" t="str">
        <f t="shared" ca="1" si="46"/>
        <v/>
      </c>
      <c r="M111" s="11" t="str">
        <f t="shared" ca="1" si="47"/>
        <v/>
      </c>
    </row>
    <row r="112" spans="2:13" hidden="1" x14ac:dyDescent="0.25">
      <c r="B112" s="12" t="str">
        <f t="shared" ca="1" si="48"/>
        <v/>
      </c>
      <c r="C112" s="12" t="str">
        <f t="shared" ca="1" si="49"/>
        <v/>
      </c>
      <c r="D112" s="12" t="str">
        <f t="shared" ca="1" si="39"/>
        <v/>
      </c>
      <c r="E112" s="7" t="str">
        <f t="shared" ca="1" si="38"/>
        <v/>
      </c>
      <c r="F112" s="9" t="str">
        <f t="shared" ca="1" si="40"/>
        <v/>
      </c>
      <c r="G112" s="8" t="str">
        <f t="shared" ca="1" si="41"/>
        <v/>
      </c>
      <c r="H112" s="10" t="str">
        <f t="shared" ca="1" si="42"/>
        <v/>
      </c>
      <c r="I112" s="10" t="str">
        <f t="shared" ca="1" si="43"/>
        <v/>
      </c>
      <c r="J112" s="10" t="str">
        <f t="shared" ca="1" si="44"/>
        <v/>
      </c>
      <c r="K112" s="10" t="str">
        <f t="shared" ca="1" si="45"/>
        <v/>
      </c>
      <c r="L112" s="22" t="str">
        <f t="shared" ca="1" si="46"/>
        <v/>
      </c>
      <c r="M112" s="11" t="str">
        <f t="shared" ca="1" si="47"/>
        <v/>
      </c>
    </row>
    <row r="113" spans="2:13" hidden="1" x14ac:dyDescent="0.25">
      <c r="B113" s="12" t="str">
        <f t="shared" ca="1" si="48"/>
        <v/>
      </c>
      <c r="C113" s="12" t="str">
        <f t="shared" ca="1" si="49"/>
        <v/>
      </c>
      <c r="D113" s="12" t="str">
        <f t="shared" ca="1" si="39"/>
        <v/>
      </c>
      <c r="E113" s="7" t="str">
        <f t="shared" ca="1" si="38"/>
        <v/>
      </c>
      <c r="F113" s="9" t="str">
        <f t="shared" ca="1" si="40"/>
        <v/>
      </c>
      <c r="G113" s="8" t="str">
        <f t="shared" ca="1" si="41"/>
        <v/>
      </c>
      <c r="H113" s="10" t="str">
        <f t="shared" ca="1" si="42"/>
        <v/>
      </c>
      <c r="I113" s="10" t="str">
        <f t="shared" ca="1" si="43"/>
        <v/>
      </c>
      <c r="J113" s="10" t="str">
        <f t="shared" ca="1" si="44"/>
        <v/>
      </c>
      <c r="K113" s="10" t="str">
        <f t="shared" ca="1" si="45"/>
        <v/>
      </c>
      <c r="L113" s="22" t="str">
        <f t="shared" ca="1" si="46"/>
        <v/>
      </c>
      <c r="M113" s="11" t="str">
        <f t="shared" ca="1" si="47"/>
        <v/>
      </c>
    </row>
    <row r="114" spans="2:13" hidden="1" x14ac:dyDescent="0.25">
      <c r="B114" s="12" t="str">
        <f t="shared" ca="1" si="48"/>
        <v/>
      </c>
      <c r="C114" s="12" t="str">
        <f t="shared" ca="1" si="49"/>
        <v/>
      </c>
      <c r="D114" s="12" t="str">
        <f t="shared" ca="1" si="39"/>
        <v/>
      </c>
      <c r="E114" s="7" t="str">
        <f t="shared" ca="1" si="38"/>
        <v/>
      </c>
      <c r="F114" s="9" t="str">
        <f t="shared" ca="1" si="40"/>
        <v/>
      </c>
      <c r="G114" s="8" t="str">
        <f t="shared" ca="1" si="41"/>
        <v/>
      </c>
      <c r="H114" s="10" t="str">
        <f t="shared" ca="1" si="42"/>
        <v/>
      </c>
      <c r="I114" s="10" t="str">
        <f t="shared" ca="1" si="43"/>
        <v/>
      </c>
      <c r="J114" s="10" t="str">
        <f t="shared" ca="1" si="44"/>
        <v/>
      </c>
      <c r="K114" s="10" t="str">
        <f t="shared" ca="1" si="45"/>
        <v/>
      </c>
      <c r="L114" s="22" t="str">
        <f t="shared" ca="1" si="46"/>
        <v/>
      </c>
      <c r="M114" s="11" t="str">
        <f t="shared" ca="1" si="47"/>
        <v/>
      </c>
    </row>
    <row r="115" spans="2:13" hidden="1" x14ac:dyDescent="0.25">
      <c r="B115" s="12" t="str">
        <f t="shared" ca="1" si="48"/>
        <v/>
      </c>
      <c r="C115" s="12" t="str">
        <f t="shared" ca="1" si="49"/>
        <v/>
      </c>
      <c r="D115" s="12" t="str">
        <f t="shared" ca="1" si="39"/>
        <v/>
      </c>
      <c r="E115" s="7" t="str">
        <f t="shared" ca="1" si="38"/>
        <v/>
      </c>
      <c r="F115" s="9" t="str">
        <f t="shared" ca="1" si="40"/>
        <v/>
      </c>
      <c r="G115" s="8" t="str">
        <f t="shared" ca="1" si="41"/>
        <v/>
      </c>
      <c r="H115" s="10" t="str">
        <f t="shared" ca="1" si="42"/>
        <v/>
      </c>
      <c r="I115" s="10" t="str">
        <f t="shared" ca="1" si="43"/>
        <v/>
      </c>
      <c r="J115" s="10" t="str">
        <f t="shared" ca="1" si="44"/>
        <v/>
      </c>
      <c r="K115" s="10" t="str">
        <f t="shared" ca="1" si="45"/>
        <v/>
      </c>
      <c r="L115" s="22" t="str">
        <f t="shared" ca="1" si="46"/>
        <v/>
      </c>
      <c r="M115" s="11" t="str">
        <f t="shared" ca="1" si="47"/>
        <v/>
      </c>
    </row>
    <row r="116" spans="2:13" hidden="1" x14ac:dyDescent="0.25">
      <c r="B116" s="12" t="str">
        <f t="shared" ca="1" si="48"/>
        <v/>
      </c>
      <c r="C116" s="12" t="str">
        <f t="shared" ca="1" si="49"/>
        <v/>
      </c>
      <c r="D116" s="12" t="str">
        <f t="shared" ca="1" si="39"/>
        <v/>
      </c>
      <c r="E116" s="7" t="str">
        <f t="shared" ca="1" si="38"/>
        <v/>
      </c>
      <c r="F116" s="9" t="str">
        <f t="shared" ca="1" si="40"/>
        <v/>
      </c>
      <c r="G116" s="8" t="str">
        <f t="shared" ca="1" si="41"/>
        <v/>
      </c>
      <c r="H116" s="10" t="str">
        <f t="shared" ca="1" si="42"/>
        <v/>
      </c>
      <c r="I116" s="10" t="str">
        <f t="shared" ca="1" si="43"/>
        <v/>
      </c>
      <c r="J116" s="10" t="str">
        <f t="shared" ca="1" si="44"/>
        <v/>
      </c>
      <c r="K116" s="10" t="str">
        <f t="shared" ca="1" si="45"/>
        <v/>
      </c>
      <c r="L116" s="22" t="str">
        <f t="shared" ca="1" si="46"/>
        <v/>
      </c>
      <c r="M116" s="11" t="str">
        <f t="shared" ca="1" si="47"/>
        <v/>
      </c>
    </row>
    <row r="117" spans="2:13" hidden="1" x14ac:dyDescent="0.25">
      <c r="B117" s="12" t="str">
        <f t="shared" ca="1" si="48"/>
        <v/>
      </c>
      <c r="C117" s="12" t="str">
        <f t="shared" ca="1" si="49"/>
        <v/>
      </c>
      <c r="D117" s="12" t="str">
        <f t="shared" ca="1" si="39"/>
        <v/>
      </c>
      <c r="E117" s="7" t="str">
        <f t="shared" ca="1" si="38"/>
        <v/>
      </c>
      <c r="F117" s="9" t="str">
        <f t="shared" ca="1" si="40"/>
        <v/>
      </c>
      <c r="G117" s="8" t="str">
        <f t="shared" ca="1" si="41"/>
        <v/>
      </c>
      <c r="H117" s="10" t="str">
        <f t="shared" ca="1" si="42"/>
        <v/>
      </c>
      <c r="I117" s="10" t="str">
        <f t="shared" ca="1" si="43"/>
        <v/>
      </c>
      <c r="J117" s="10" t="str">
        <f t="shared" ca="1" si="44"/>
        <v/>
      </c>
      <c r="K117" s="10" t="str">
        <f t="shared" ca="1" si="45"/>
        <v/>
      </c>
      <c r="L117" s="22" t="str">
        <f t="shared" ca="1" si="46"/>
        <v/>
      </c>
      <c r="M117" s="11" t="str">
        <f t="shared" ca="1" si="47"/>
        <v/>
      </c>
    </row>
    <row r="118" spans="2:13" hidden="1" x14ac:dyDescent="0.25">
      <c r="B118" s="12" t="str">
        <f t="shared" ca="1" si="48"/>
        <v/>
      </c>
      <c r="C118" s="12" t="str">
        <f t="shared" ca="1" si="49"/>
        <v/>
      </c>
      <c r="D118" s="12" t="str">
        <f t="shared" ca="1" si="39"/>
        <v/>
      </c>
      <c r="E118" s="7" t="str">
        <f t="shared" ca="1" si="38"/>
        <v/>
      </c>
      <c r="F118" s="9" t="str">
        <f t="shared" ca="1" si="40"/>
        <v/>
      </c>
      <c r="G118" s="8" t="str">
        <f t="shared" ca="1" si="41"/>
        <v/>
      </c>
      <c r="H118" s="10" t="str">
        <f t="shared" ca="1" si="42"/>
        <v/>
      </c>
      <c r="I118" s="10" t="str">
        <f t="shared" ca="1" si="43"/>
        <v/>
      </c>
      <c r="J118" s="10" t="str">
        <f t="shared" ca="1" si="44"/>
        <v/>
      </c>
      <c r="K118" s="10" t="str">
        <f t="shared" ca="1" si="45"/>
        <v/>
      </c>
      <c r="L118" s="22" t="str">
        <f t="shared" ca="1" si="46"/>
        <v/>
      </c>
      <c r="M118" s="11" t="str">
        <f t="shared" ca="1" si="47"/>
        <v/>
      </c>
    </row>
    <row r="119" spans="2:13" hidden="1" x14ac:dyDescent="0.25">
      <c r="B119" s="12" t="str">
        <f t="shared" ca="1" si="48"/>
        <v/>
      </c>
      <c r="C119" s="12" t="str">
        <f t="shared" ca="1" si="49"/>
        <v/>
      </c>
      <c r="D119" s="12" t="str">
        <f t="shared" ca="1" si="39"/>
        <v/>
      </c>
      <c r="E119" s="7" t="str">
        <f t="shared" ca="1" si="38"/>
        <v/>
      </c>
      <c r="F119" s="9" t="str">
        <f t="shared" ca="1" si="40"/>
        <v/>
      </c>
      <c r="G119" s="8" t="str">
        <f t="shared" ca="1" si="41"/>
        <v/>
      </c>
      <c r="H119" s="10" t="str">
        <f t="shared" ca="1" si="42"/>
        <v/>
      </c>
      <c r="I119" s="10" t="str">
        <f t="shared" ca="1" si="43"/>
        <v/>
      </c>
      <c r="J119" s="10" t="str">
        <f t="shared" ca="1" si="44"/>
        <v/>
      </c>
      <c r="K119" s="10" t="str">
        <f t="shared" ca="1" si="45"/>
        <v/>
      </c>
      <c r="L119" s="22" t="str">
        <f t="shared" ca="1" si="46"/>
        <v/>
      </c>
      <c r="M119" s="11" t="str">
        <f t="shared" ca="1" si="47"/>
        <v/>
      </c>
    </row>
    <row r="120" spans="2:13" hidden="1" x14ac:dyDescent="0.25">
      <c r="B120" s="12" t="str">
        <f t="shared" ca="1" si="48"/>
        <v/>
      </c>
      <c r="C120" s="12" t="str">
        <f t="shared" ca="1" si="49"/>
        <v/>
      </c>
      <c r="D120" s="12" t="str">
        <f t="shared" ca="1" si="39"/>
        <v/>
      </c>
      <c r="E120" s="7" t="str">
        <f t="shared" ca="1" si="38"/>
        <v/>
      </c>
      <c r="F120" s="9" t="str">
        <f t="shared" ca="1" si="40"/>
        <v/>
      </c>
      <c r="G120" s="8" t="str">
        <f t="shared" ca="1" si="41"/>
        <v/>
      </c>
      <c r="H120" s="10" t="str">
        <f t="shared" ca="1" si="42"/>
        <v/>
      </c>
      <c r="I120" s="10" t="str">
        <f t="shared" ca="1" si="43"/>
        <v/>
      </c>
      <c r="J120" s="10" t="str">
        <f t="shared" ca="1" si="44"/>
        <v/>
      </c>
      <c r="K120" s="10" t="str">
        <f t="shared" ca="1" si="45"/>
        <v/>
      </c>
      <c r="L120" s="22" t="str">
        <f t="shared" ca="1" si="46"/>
        <v/>
      </c>
      <c r="M120" s="11" t="str">
        <f t="shared" ca="1" si="47"/>
        <v/>
      </c>
    </row>
    <row r="121" spans="2:13" hidden="1" x14ac:dyDescent="0.25">
      <c r="B121" s="12" t="str">
        <f t="shared" ref="B121:B122" ca="1" si="50">IFERROR(RANK(M121,$M$14:$M$164,0),"")</f>
        <v/>
      </c>
      <c r="C121" s="12" t="str">
        <f t="shared" ref="C121:C122" ca="1" si="51">IFERROR(RANK(K121,$K$14:$K$164,0),"")</f>
        <v/>
      </c>
      <c r="D121" s="12" t="str">
        <f t="shared" ca="1" si="39"/>
        <v/>
      </c>
      <c r="E121" s="7" t="str">
        <f t="shared" ca="1" si="38"/>
        <v/>
      </c>
      <c r="F121" s="9" t="str">
        <f t="shared" ca="1" si="40"/>
        <v/>
      </c>
      <c r="G121" s="8" t="str">
        <f t="shared" ca="1" si="41"/>
        <v/>
      </c>
      <c r="H121" s="10" t="str">
        <f t="shared" ca="1" si="42"/>
        <v/>
      </c>
      <c r="I121" s="10" t="str">
        <f t="shared" ca="1" si="43"/>
        <v/>
      </c>
      <c r="J121" s="10" t="str">
        <f t="shared" ca="1" si="44"/>
        <v/>
      </c>
      <c r="K121" s="10" t="str">
        <f t="shared" ca="1" si="45"/>
        <v/>
      </c>
      <c r="L121" s="22" t="str">
        <f t="shared" ca="1" si="46"/>
        <v/>
      </c>
      <c r="M121" s="11" t="str">
        <f t="shared" ca="1" si="47"/>
        <v/>
      </c>
    </row>
    <row r="122" spans="2:13" hidden="1" x14ac:dyDescent="0.25">
      <c r="B122" s="12" t="str">
        <f t="shared" ca="1" si="50"/>
        <v/>
      </c>
      <c r="C122" s="12" t="str">
        <f t="shared" ca="1" si="51"/>
        <v/>
      </c>
      <c r="D122" s="12" t="str">
        <f t="shared" ca="1" si="39"/>
        <v/>
      </c>
      <c r="E122" s="7" t="str">
        <f t="shared" ca="1" si="38"/>
        <v/>
      </c>
      <c r="F122" s="9" t="str">
        <f t="shared" ca="1" si="40"/>
        <v/>
      </c>
      <c r="G122" s="8" t="str">
        <f t="shared" ca="1" si="41"/>
        <v/>
      </c>
      <c r="H122" s="10" t="str">
        <f t="shared" ca="1" si="42"/>
        <v/>
      </c>
      <c r="I122" s="10" t="str">
        <f t="shared" ca="1" si="43"/>
        <v/>
      </c>
      <c r="J122" s="10" t="str">
        <f t="shared" ca="1" si="44"/>
        <v/>
      </c>
      <c r="K122" s="10" t="str">
        <f t="shared" ca="1" si="45"/>
        <v/>
      </c>
      <c r="L122" s="22" t="str">
        <f t="shared" ca="1" si="46"/>
        <v/>
      </c>
      <c r="M122" s="11" t="str">
        <f t="shared" ca="1" si="47"/>
        <v/>
      </c>
    </row>
    <row r="123" spans="2:13" hidden="1" x14ac:dyDescent="0.25">
      <c r="B123" s="12" t="str">
        <f t="shared" ref="B123:B165" ca="1" si="52">IFERROR(RANK(M123,$M$14:$M$164,0),"")</f>
        <v/>
      </c>
      <c r="C123" s="12" t="str">
        <f t="shared" ref="C123:C165" ca="1" si="53">IFERROR(RANK(K123,$K$14:$K$164,0),"")</f>
        <v/>
      </c>
      <c r="D123" s="12" t="str">
        <f t="shared" ca="1" si="39"/>
        <v/>
      </c>
      <c r="E123" s="7" t="str">
        <f t="shared" ca="1" si="38"/>
        <v/>
      </c>
      <c r="F123" s="9" t="str">
        <f t="shared" ca="1" si="40"/>
        <v/>
      </c>
      <c r="G123" s="8" t="str">
        <f t="shared" ca="1" si="41"/>
        <v/>
      </c>
      <c r="H123" s="10" t="str">
        <f t="shared" ca="1" si="42"/>
        <v/>
      </c>
      <c r="I123" s="10" t="str">
        <f t="shared" ca="1" si="43"/>
        <v/>
      </c>
      <c r="J123" s="10" t="str">
        <f t="shared" ca="1" si="44"/>
        <v/>
      </c>
      <c r="K123" s="10" t="str">
        <f t="shared" ca="1" si="45"/>
        <v/>
      </c>
      <c r="L123" s="22" t="str">
        <f t="shared" ca="1" si="46"/>
        <v/>
      </c>
      <c r="M123" s="11" t="str">
        <f t="shared" ca="1" si="47"/>
        <v/>
      </c>
    </row>
    <row r="124" spans="2:13" hidden="1" x14ac:dyDescent="0.25">
      <c r="B124" s="12" t="str">
        <f t="shared" ca="1" si="52"/>
        <v/>
      </c>
      <c r="C124" s="12" t="str">
        <f t="shared" ca="1" si="53"/>
        <v/>
      </c>
      <c r="D124" s="12" t="str">
        <f t="shared" ca="1" si="39"/>
        <v/>
      </c>
      <c r="E124" s="7" t="str">
        <f t="shared" ca="1" si="38"/>
        <v/>
      </c>
      <c r="F124" s="9" t="str">
        <f t="shared" ca="1" si="40"/>
        <v/>
      </c>
      <c r="G124" s="8" t="str">
        <f t="shared" ca="1" si="41"/>
        <v/>
      </c>
      <c r="H124" s="10" t="str">
        <f t="shared" ca="1" si="42"/>
        <v/>
      </c>
      <c r="I124" s="10" t="str">
        <f t="shared" ca="1" si="43"/>
        <v/>
      </c>
      <c r="J124" s="10" t="str">
        <f t="shared" ca="1" si="44"/>
        <v/>
      </c>
      <c r="K124" s="10" t="str">
        <f t="shared" ca="1" si="45"/>
        <v/>
      </c>
      <c r="L124" s="22" t="str">
        <f t="shared" ca="1" si="46"/>
        <v/>
      </c>
      <c r="M124" s="11" t="str">
        <f t="shared" ca="1" si="47"/>
        <v/>
      </c>
    </row>
    <row r="125" spans="2:13" hidden="1" x14ac:dyDescent="0.25">
      <c r="B125" s="12" t="str">
        <f t="shared" ca="1" si="52"/>
        <v/>
      </c>
      <c r="C125" s="12" t="str">
        <f t="shared" ca="1" si="53"/>
        <v/>
      </c>
      <c r="D125" s="12" t="str">
        <f t="shared" ca="1" si="39"/>
        <v/>
      </c>
      <c r="E125" s="7" t="str">
        <f t="shared" ca="1" si="38"/>
        <v/>
      </c>
      <c r="F125" s="9" t="str">
        <f t="shared" ca="1" si="40"/>
        <v/>
      </c>
      <c r="G125" s="8" t="str">
        <f t="shared" ca="1" si="41"/>
        <v/>
      </c>
      <c r="H125" s="10" t="str">
        <f t="shared" ca="1" si="42"/>
        <v/>
      </c>
      <c r="I125" s="10" t="str">
        <f t="shared" ca="1" si="43"/>
        <v/>
      </c>
      <c r="J125" s="10" t="str">
        <f t="shared" ca="1" si="44"/>
        <v/>
      </c>
      <c r="K125" s="10" t="str">
        <f t="shared" ca="1" si="45"/>
        <v/>
      </c>
      <c r="L125" s="22" t="str">
        <f t="shared" ca="1" si="46"/>
        <v/>
      </c>
      <c r="M125" s="11" t="str">
        <f t="shared" ca="1" si="47"/>
        <v/>
      </c>
    </row>
    <row r="126" spans="2:13" hidden="1" x14ac:dyDescent="0.25">
      <c r="B126" s="12" t="str">
        <f t="shared" ca="1" si="52"/>
        <v/>
      </c>
      <c r="C126" s="12" t="str">
        <f t="shared" ca="1" si="53"/>
        <v/>
      </c>
      <c r="D126" s="12" t="str">
        <f t="shared" ca="1" si="39"/>
        <v/>
      </c>
      <c r="E126" s="7" t="str">
        <f t="shared" ca="1" si="38"/>
        <v/>
      </c>
      <c r="F126" s="9" t="str">
        <f t="shared" ca="1" si="40"/>
        <v/>
      </c>
      <c r="G126" s="8" t="str">
        <f t="shared" ca="1" si="41"/>
        <v/>
      </c>
      <c r="H126" s="10" t="str">
        <f t="shared" ca="1" si="42"/>
        <v/>
      </c>
      <c r="I126" s="10" t="str">
        <f t="shared" ca="1" si="43"/>
        <v/>
      </c>
      <c r="J126" s="10" t="str">
        <f t="shared" ca="1" si="44"/>
        <v/>
      </c>
      <c r="K126" s="10" t="str">
        <f t="shared" ca="1" si="45"/>
        <v/>
      </c>
      <c r="L126" s="22" t="str">
        <f t="shared" ca="1" si="46"/>
        <v/>
      </c>
      <c r="M126" s="11" t="str">
        <f t="shared" ca="1" si="47"/>
        <v/>
      </c>
    </row>
    <row r="127" spans="2:13" hidden="1" x14ac:dyDescent="0.25">
      <c r="B127" s="12" t="str">
        <f t="shared" ca="1" si="52"/>
        <v/>
      </c>
      <c r="C127" s="12" t="str">
        <f t="shared" ca="1" si="53"/>
        <v/>
      </c>
      <c r="D127" s="12" t="str">
        <f t="shared" ca="1" si="39"/>
        <v/>
      </c>
      <c r="E127" s="7" t="str">
        <f t="shared" ca="1" si="38"/>
        <v/>
      </c>
      <c r="F127" s="9" t="str">
        <f t="shared" ca="1" si="40"/>
        <v/>
      </c>
      <c r="G127" s="8" t="str">
        <f t="shared" ca="1" si="41"/>
        <v/>
      </c>
      <c r="H127" s="10" t="str">
        <f t="shared" ca="1" si="42"/>
        <v/>
      </c>
      <c r="I127" s="10" t="str">
        <f t="shared" ca="1" si="43"/>
        <v/>
      </c>
      <c r="J127" s="10" t="str">
        <f t="shared" ca="1" si="44"/>
        <v/>
      </c>
      <c r="K127" s="10" t="str">
        <f t="shared" ca="1" si="45"/>
        <v/>
      </c>
      <c r="L127" s="22" t="str">
        <f t="shared" ca="1" si="46"/>
        <v/>
      </c>
      <c r="M127" s="11" t="str">
        <f t="shared" ca="1" si="47"/>
        <v/>
      </c>
    </row>
    <row r="128" spans="2:13" hidden="1" x14ac:dyDescent="0.25">
      <c r="B128" s="12" t="str">
        <f t="shared" ca="1" si="52"/>
        <v/>
      </c>
      <c r="C128" s="12" t="str">
        <f t="shared" ca="1" si="53"/>
        <v/>
      </c>
      <c r="D128" s="12" t="str">
        <f t="shared" ca="1" si="39"/>
        <v/>
      </c>
      <c r="E128" s="7" t="str">
        <f t="shared" ca="1" si="38"/>
        <v/>
      </c>
      <c r="F128" s="9" t="str">
        <f t="shared" ca="1" si="40"/>
        <v/>
      </c>
      <c r="G128" s="8" t="str">
        <f t="shared" ca="1" si="41"/>
        <v/>
      </c>
      <c r="H128" s="10" t="str">
        <f t="shared" ca="1" si="42"/>
        <v/>
      </c>
      <c r="I128" s="10" t="str">
        <f t="shared" ca="1" si="43"/>
        <v/>
      </c>
      <c r="J128" s="10" t="str">
        <f t="shared" ca="1" si="44"/>
        <v/>
      </c>
      <c r="K128" s="10" t="str">
        <f t="shared" ca="1" si="45"/>
        <v/>
      </c>
      <c r="L128" s="22" t="str">
        <f t="shared" ca="1" si="46"/>
        <v/>
      </c>
      <c r="M128" s="11" t="str">
        <f t="shared" ca="1" si="47"/>
        <v/>
      </c>
    </row>
    <row r="129" spans="2:13" hidden="1" x14ac:dyDescent="0.25">
      <c r="B129" s="12" t="str">
        <f t="shared" ca="1" si="52"/>
        <v/>
      </c>
      <c r="C129" s="12" t="str">
        <f t="shared" ca="1" si="53"/>
        <v/>
      </c>
      <c r="D129" s="12" t="str">
        <f t="shared" ca="1" si="39"/>
        <v/>
      </c>
      <c r="E129" s="7" t="str">
        <f t="shared" ca="1" si="38"/>
        <v/>
      </c>
      <c r="F129" s="9" t="str">
        <f t="shared" ca="1" si="40"/>
        <v/>
      </c>
      <c r="G129" s="8" t="str">
        <f t="shared" ca="1" si="41"/>
        <v/>
      </c>
      <c r="H129" s="10" t="str">
        <f t="shared" ca="1" si="42"/>
        <v/>
      </c>
      <c r="I129" s="10" t="str">
        <f t="shared" ca="1" si="43"/>
        <v/>
      </c>
      <c r="J129" s="10" t="str">
        <f t="shared" ca="1" si="44"/>
        <v/>
      </c>
      <c r="K129" s="10" t="str">
        <f t="shared" ca="1" si="45"/>
        <v/>
      </c>
      <c r="L129" s="22" t="str">
        <f t="shared" ca="1" si="46"/>
        <v/>
      </c>
      <c r="M129" s="11" t="str">
        <f t="shared" ca="1" si="47"/>
        <v/>
      </c>
    </row>
    <row r="130" spans="2:13" hidden="1" x14ac:dyDescent="0.25">
      <c r="B130" s="12" t="str">
        <f t="shared" ca="1" si="52"/>
        <v/>
      </c>
      <c r="C130" s="12" t="str">
        <f t="shared" ca="1" si="53"/>
        <v/>
      </c>
      <c r="D130" s="12" t="str">
        <f t="shared" ca="1" si="39"/>
        <v/>
      </c>
      <c r="E130" s="7" t="str">
        <f t="shared" ca="1" si="38"/>
        <v/>
      </c>
      <c r="F130" s="9" t="str">
        <f t="shared" ca="1" si="40"/>
        <v/>
      </c>
      <c r="G130" s="8" t="str">
        <f t="shared" ca="1" si="41"/>
        <v/>
      </c>
      <c r="H130" s="10" t="str">
        <f t="shared" ca="1" si="42"/>
        <v/>
      </c>
      <c r="I130" s="10" t="str">
        <f t="shared" ca="1" si="43"/>
        <v/>
      </c>
      <c r="J130" s="10" t="str">
        <f t="shared" ca="1" si="44"/>
        <v/>
      </c>
      <c r="K130" s="10" t="str">
        <f t="shared" ca="1" si="45"/>
        <v/>
      </c>
      <c r="L130" s="22" t="str">
        <f t="shared" ca="1" si="46"/>
        <v/>
      </c>
      <c r="M130" s="11" t="str">
        <f t="shared" ca="1" si="47"/>
        <v/>
      </c>
    </row>
    <row r="131" spans="2:13" hidden="1" x14ac:dyDescent="0.25">
      <c r="B131" s="12" t="str">
        <f t="shared" ca="1" si="52"/>
        <v/>
      </c>
      <c r="C131" s="12" t="str">
        <f t="shared" ca="1" si="53"/>
        <v/>
      </c>
      <c r="D131" s="12" t="str">
        <f t="shared" ca="1" si="39"/>
        <v/>
      </c>
      <c r="E131" s="7" t="str">
        <f t="shared" ca="1" si="38"/>
        <v/>
      </c>
      <c r="F131" s="9" t="str">
        <f t="shared" ca="1" si="40"/>
        <v/>
      </c>
      <c r="G131" s="8" t="str">
        <f t="shared" ca="1" si="41"/>
        <v/>
      </c>
      <c r="H131" s="10" t="str">
        <f t="shared" ca="1" si="42"/>
        <v/>
      </c>
      <c r="I131" s="10" t="str">
        <f t="shared" ca="1" si="43"/>
        <v/>
      </c>
      <c r="J131" s="10" t="str">
        <f t="shared" ca="1" si="44"/>
        <v/>
      </c>
      <c r="K131" s="10" t="str">
        <f t="shared" ca="1" si="45"/>
        <v/>
      </c>
      <c r="L131" s="22" t="str">
        <f t="shared" ca="1" si="46"/>
        <v/>
      </c>
      <c r="M131" s="11" t="str">
        <f t="shared" ca="1" si="47"/>
        <v/>
      </c>
    </row>
    <row r="132" spans="2:13" hidden="1" x14ac:dyDescent="0.25">
      <c r="B132" s="12" t="str">
        <f t="shared" ca="1" si="52"/>
        <v/>
      </c>
      <c r="C132" s="12" t="str">
        <f t="shared" ca="1" si="53"/>
        <v/>
      </c>
      <c r="D132" s="12" t="str">
        <f t="shared" ca="1" si="39"/>
        <v/>
      </c>
      <c r="E132" s="7" t="str">
        <f t="shared" ca="1" si="38"/>
        <v/>
      </c>
      <c r="F132" s="9" t="str">
        <f t="shared" ca="1" si="40"/>
        <v/>
      </c>
      <c r="G132" s="8" t="str">
        <f t="shared" ca="1" si="41"/>
        <v/>
      </c>
      <c r="H132" s="10" t="str">
        <f t="shared" ca="1" si="42"/>
        <v/>
      </c>
      <c r="I132" s="10" t="str">
        <f t="shared" ca="1" si="43"/>
        <v/>
      </c>
      <c r="J132" s="10" t="str">
        <f t="shared" ca="1" si="44"/>
        <v/>
      </c>
      <c r="K132" s="10" t="str">
        <f t="shared" ca="1" si="45"/>
        <v/>
      </c>
      <c r="L132" s="22" t="str">
        <f t="shared" ca="1" si="46"/>
        <v/>
      </c>
      <c r="M132" s="11" t="str">
        <f t="shared" ca="1" si="47"/>
        <v/>
      </c>
    </row>
    <row r="133" spans="2:13" hidden="1" x14ac:dyDescent="0.25">
      <c r="B133" s="12" t="str">
        <f t="shared" ca="1" si="52"/>
        <v/>
      </c>
      <c r="C133" s="12" t="str">
        <f t="shared" ca="1" si="53"/>
        <v/>
      </c>
      <c r="D133" s="12" t="str">
        <f t="shared" ca="1" si="39"/>
        <v/>
      </c>
      <c r="E133" s="7" t="str">
        <f t="shared" ca="1" si="38"/>
        <v/>
      </c>
      <c r="F133" s="9" t="str">
        <f t="shared" ca="1" si="40"/>
        <v/>
      </c>
      <c r="G133" s="8" t="str">
        <f t="shared" ca="1" si="41"/>
        <v/>
      </c>
      <c r="H133" s="10" t="str">
        <f t="shared" ca="1" si="42"/>
        <v/>
      </c>
      <c r="I133" s="10" t="str">
        <f t="shared" ca="1" si="43"/>
        <v/>
      </c>
      <c r="J133" s="10" t="str">
        <f t="shared" ca="1" si="44"/>
        <v/>
      </c>
      <c r="K133" s="10" t="str">
        <f t="shared" ca="1" si="45"/>
        <v/>
      </c>
      <c r="L133" s="22" t="str">
        <f t="shared" ca="1" si="46"/>
        <v/>
      </c>
      <c r="M133" s="11" t="str">
        <f t="shared" ca="1" si="47"/>
        <v/>
      </c>
    </row>
    <row r="134" spans="2:13" hidden="1" x14ac:dyDescent="0.25">
      <c r="B134" s="12" t="str">
        <f t="shared" ca="1" si="52"/>
        <v/>
      </c>
      <c r="C134" s="12" t="str">
        <f t="shared" ca="1" si="53"/>
        <v/>
      </c>
      <c r="D134" s="12" t="str">
        <f t="shared" ca="1" si="39"/>
        <v/>
      </c>
      <c r="E134" s="7" t="str">
        <f t="shared" ca="1" si="38"/>
        <v/>
      </c>
      <c r="F134" s="9" t="str">
        <f t="shared" ca="1" si="40"/>
        <v/>
      </c>
      <c r="G134" s="8" t="str">
        <f t="shared" ca="1" si="41"/>
        <v/>
      </c>
      <c r="H134" s="10" t="str">
        <f t="shared" ca="1" si="42"/>
        <v/>
      </c>
      <c r="I134" s="10" t="str">
        <f t="shared" ca="1" si="43"/>
        <v/>
      </c>
      <c r="J134" s="10" t="str">
        <f t="shared" ca="1" si="44"/>
        <v/>
      </c>
      <c r="K134" s="10" t="str">
        <f t="shared" ca="1" si="45"/>
        <v/>
      </c>
      <c r="L134" s="22" t="str">
        <f t="shared" ca="1" si="46"/>
        <v/>
      </c>
      <c r="M134" s="11" t="str">
        <f t="shared" ca="1" si="47"/>
        <v/>
      </c>
    </row>
    <row r="135" spans="2:13" hidden="1" x14ac:dyDescent="0.25">
      <c r="B135" s="12" t="str">
        <f t="shared" ca="1" si="52"/>
        <v/>
      </c>
      <c r="C135" s="12" t="str">
        <f t="shared" ca="1" si="53"/>
        <v/>
      </c>
      <c r="D135" s="12" t="str">
        <f t="shared" ca="1" si="39"/>
        <v/>
      </c>
      <c r="E135" s="7" t="str">
        <f t="shared" ca="1" si="38"/>
        <v/>
      </c>
      <c r="F135" s="9" t="str">
        <f t="shared" ca="1" si="40"/>
        <v/>
      </c>
      <c r="G135" s="8" t="str">
        <f t="shared" ca="1" si="41"/>
        <v/>
      </c>
      <c r="H135" s="10" t="str">
        <f t="shared" ca="1" si="42"/>
        <v/>
      </c>
      <c r="I135" s="10" t="str">
        <f t="shared" ca="1" si="43"/>
        <v/>
      </c>
      <c r="J135" s="10" t="str">
        <f t="shared" ca="1" si="44"/>
        <v/>
      </c>
      <c r="K135" s="10" t="str">
        <f t="shared" ca="1" si="45"/>
        <v/>
      </c>
      <c r="L135" s="22" t="str">
        <f t="shared" ca="1" si="46"/>
        <v/>
      </c>
      <c r="M135" s="11" t="str">
        <f t="shared" ca="1" si="47"/>
        <v/>
      </c>
    </row>
    <row r="136" spans="2:13" hidden="1" x14ac:dyDescent="0.25">
      <c r="B136" s="12" t="str">
        <f t="shared" ca="1" si="52"/>
        <v/>
      </c>
      <c r="C136" s="12" t="str">
        <f t="shared" ca="1" si="53"/>
        <v/>
      </c>
      <c r="D136" s="12" t="str">
        <f t="shared" ca="1" si="39"/>
        <v/>
      </c>
      <c r="E136" s="7" t="str">
        <f t="shared" ca="1" si="38"/>
        <v/>
      </c>
      <c r="F136" s="9" t="str">
        <f t="shared" ca="1" si="40"/>
        <v/>
      </c>
      <c r="G136" s="8" t="str">
        <f t="shared" ca="1" si="41"/>
        <v/>
      </c>
      <c r="H136" s="10" t="str">
        <f t="shared" ca="1" si="42"/>
        <v/>
      </c>
      <c r="I136" s="10" t="str">
        <f t="shared" ca="1" si="43"/>
        <v/>
      </c>
      <c r="J136" s="10" t="str">
        <f t="shared" ca="1" si="44"/>
        <v/>
      </c>
      <c r="K136" s="10" t="str">
        <f t="shared" ca="1" si="45"/>
        <v/>
      </c>
      <c r="L136" s="22" t="str">
        <f t="shared" ca="1" si="46"/>
        <v/>
      </c>
      <c r="M136" s="11" t="str">
        <f t="shared" ca="1" si="47"/>
        <v/>
      </c>
    </row>
    <row r="137" spans="2:13" hidden="1" x14ac:dyDescent="0.25">
      <c r="B137" s="12" t="str">
        <f t="shared" ca="1" si="52"/>
        <v/>
      </c>
      <c r="C137" s="12" t="str">
        <f t="shared" ca="1" si="53"/>
        <v/>
      </c>
      <c r="D137" s="12" t="str">
        <f t="shared" ca="1" si="39"/>
        <v/>
      </c>
      <c r="E137" s="7" t="str">
        <f t="shared" ca="1" si="38"/>
        <v/>
      </c>
      <c r="F137" s="9" t="str">
        <f t="shared" ca="1" si="40"/>
        <v/>
      </c>
      <c r="G137" s="8" t="str">
        <f t="shared" ca="1" si="41"/>
        <v/>
      </c>
      <c r="H137" s="10" t="str">
        <f t="shared" ca="1" si="42"/>
        <v/>
      </c>
      <c r="I137" s="10" t="str">
        <f t="shared" ca="1" si="43"/>
        <v/>
      </c>
      <c r="J137" s="10" t="str">
        <f t="shared" ca="1" si="44"/>
        <v/>
      </c>
      <c r="K137" s="10" t="str">
        <f t="shared" ca="1" si="45"/>
        <v/>
      </c>
      <c r="L137" s="22" t="str">
        <f t="shared" ca="1" si="46"/>
        <v/>
      </c>
      <c r="M137" s="11" t="str">
        <f t="shared" ca="1" si="47"/>
        <v/>
      </c>
    </row>
    <row r="138" spans="2:13" hidden="1" x14ac:dyDescent="0.25">
      <c r="B138" s="12" t="str">
        <f t="shared" ca="1" si="52"/>
        <v/>
      </c>
      <c r="C138" s="12" t="str">
        <f t="shared" ca="1" si="53"/>
        <v/>
      </c>
      <c r="D138" s="12" t="str">
        <f t="shared" ca="1" si="39"/>
        <v/>
      </c>
      <c r="E138" s="7" t="str">
        <f t="shared" ca="1" si="38"/>
        <v/>
      </c>
      <c r="F138" s="9" t="str">
        <f t="shared" ca="1" si="40"/>
        <v/>
      </c>
      <c r="G138" s="8" t="str">
        <f t="shared" ca="1" si="41"/>
        <v/>
      </c>
      <c r="H138" s="10" t="str">
        <f t="shared" ca="1" si="42"/>
        <v/>
      </c>
      <c r="I138" s="10" t="str">
        <f t="shared" ca="1" si="43"/>
        <v/>
      </c>
      <c r="J138" s="10" t="str">
        <f t="shared" ca="1" si="44"/>
        <v/>
      </c>
      <c r="K138" s="10" t="str">
        <f t="shared" ca="1" si="45"/>
        <v/>
      </c>
      <c r="L138" s="22" t="str">
        <f t="shared" ca="1" si="46"/>
        <v/>
      </c>
      <c r="M138" s="11" t="str">
        <f t="shared" ca="1" si="47"/>
        <v/>
      </c>
    </row>
    <row r="139" spans="2:13" hidden="1" x14ac:dyDescent="0.25">
      <c r="B139" s="12" t="str">
        <f t="shared" ca="1" si="52"/>
        <v/>
      </c>
      <c r="C139" s="12" t="str">
        <f t="shared" ca="1" si="53"/>
        <v/>
      </c>
      <c r="D139" s="12" t="str">
        <f t="shared" ca="1" si="39"/>
        <v/>
      </c>
      <c r="E139" s="7" t="str">
        <f t="shared" ca="1" si="38"/>
        <v/>
      </c>
      <c r="F139" s="9" t="str">
        <f t="shared" ca="1" si="40"/>
        <v/>
      </c>
      <c r="G139" s="8" t="str">
        <f t="shared" ca="1" si="41"/>
        <v/>
      </c>
      <c r="H139" s="10" t="str">
        <f t="shared" ca="1" si="42"/>
        <v/>
      </c>
      <c r="I139" s="10" t="str">
        <f t="shared" ca="1" si="43"/>
        <v/>
      </c>
      <c r="J139" s="10" t="str">
        <f t="shared" ca="1" si="44"/>
        <v/>
      </c>
      <c r="K139" s="10" t="str">
        <f t="shared" ca="1" si="45"/>
        <v/>
      </c>
      <c r="L139" s="22" t="str">
        <f t="shared" ca="1" si="46"/>
        <v/>
      </c>
      <c r="M139" s="11" t="str">
        <f t="shared" ca="1" si="47"/>
        <v/>
      </c>
    </row>
    <row r="140" spans="2:13" hidden="1" x14ac:dyDescent="0.25">
      <c r="B140" s="12" t="str">
        <f t="shared" ca="1" si="52"/>
        <v/>
      </c>
      <c r="C140" s="12" t="str">
        <f t="shared" ca="1" si="53"/>
        <v/>
      </c>
      <c r="D140" s="12" t="str">
        <f t="shared" ca="1" si="39"/>
        <v/>
      </c>
      <c r="E140" s="7" t="str">
        <f t="shared" ca="1" si="38"/>
        <v/>
      </c>
      <c r="F140" s="9" t="str">
        <f t="shared" ca="1" si="40"/>
        <v/>
      </c>
      <c r="G140" s="8" t="str">
        <f t="shared" ca="1" si="41"/>
        <v/>
      </c>
      <c r="H140" s="10" t="str">
        <f t="shared" ca="1" si="42"/>
        <v/>
      </c>
      <c r="I140" s="10" t="str">
        <f t="shared" ca="1" si="43"/>
        <v/>
      </c>
      <c r="J140" s="10" t="str">
        <f t="shared" ca="1" si="44"/>
        <v/>
      </c>
      <c r="K140" s="10" t="str">
        <f t="shared" ca="1" si="45"/>
        <v/>
      </c>
      <c r="L140" s="22" t="str">
        <f t="shared" ca="1" si="46"/>
        <v/>
      </c>
      <c r="M140" s="11" t="str">
        <f t="shared" ca="1" si="47"/>
        <v/>
      </c>
    </row>
    <row r="141" spans="2:13" hidden="1" x14ac:dyDescent="0.25">
      <c r="B141" s="12" t="str">
        <f t="shared" ca="1" si="52"/>
        <v/>
      </c>
      <c r="C141" s="12" t="str">
        <f t="shared" ca="1" si="53"/>
        <v/>
      </c>
      <c r="D141" s="12" t="str">
        <f t="shared" ca="1" si="39"/>
        <v/>
      </c>
      <c r="E141" s="7" t="str">
        <f t="shared" ca="1" si="38"/>
        <v/>
      </c>
      <c r="F141" s="9" t="str">
        <f t="shared" ca="1" si="40"/>
        <v/>
      </c>
      <c r="G141" s="8" t="str">
        <f t="shared" ca="1" si="41"/>
        <v/>
      </c>
      <c r="H141" s="10" t="str">
        <f t="shared" ca="1" si="42"/>
        <v/>
      </c>
      <c r="I141" s="10" t="str">
        <f t="shared" ca="1" si="43"/>
        <v/>
      </c>
      <c r="J141" s="10" t="str">
        <f t="shared" ca="1" si="44"/>
        <v/>
      </c>
      <c r="K141" s="10" t="str">
        <f t="shared" ca="1" si="45"/>
        <v/>
      </c>
      <c r="L141" s="22" t="str">
        <f t="shared" ca="1" si="46"/>
        <v/>
      </c>
      <c r="M141" s="11" t="str">
        <f t="shared" ca="1" si="47"/>
        <v/>
      </c>
    </row>
    <row r="142" spans="2:13" hidden="1" x14ac:dyDescent="0.25">
      <c r="B142" s="12" t="str">
        <f t="shared" ca="1" si="52"/>
        <v/>
      </c>
      <c r="C142" s="12" t="str">
        <f t="shared" ca="1" si="53"/>
        <v/>
      </c>
      <c r="D142" s="12" t="str">
        <f t="shared" ca="1" si="39"/>
        <v/>
      </c>
      <c r="E142" s="7" t="str">
        <f t="shared" ref="E142:E165" ca="1" si="54">IFERROR(INDIRECT("'"&amp;$A142&amp;"'!B6"),"")</f>
        <v/>
      </c>
      <c r="F142" s="9" t="str">
        <f t="shared" ca="1" si="40"/>
        <v/>
      </c>
      <c r="G142" s="8" t="str">
        <f t="shared" ca="1" si="41"/>
        <v/>
      </c>
      <c r="H142" s="10" t="str">
        <f t="shared" ca="1" si="42"/>
        <v/>
      </c>
      <c r="I142" s="10" t="str">
        <f t="shared" ca="1" si="43"/>
        <v/>
      </c>
      <c r="J142" s="10" t="str">
        <f t="shared" ca="1" si="44"/>
        <v/>
      </c>
      <c r="K142" s="10" t="str">
        <f t="shared" ca="1" si="45"/>
        <v/>
      </c>
      <c r="L142" s="22" t="str">
        <f t="shared" ca="1" si="46"/>
        <v/>
      </c>
      <c r="M142" s="11" t="str">
        <f t="shared" ca="1" si="47"/>
        <v/>
      </c>
    </row>
    <row r="143" spans="2:13" hidden="1" x14ac:dyDescent="0.25">
      <c r="B143" s="12" t="str">
        <f t="shared" ca="1" si="52"/>
        <v/>
      </c>
      <c r="C143" s="12" t="str">
        <f t="shared" ca="1" si="53"/>
        <v/>
      </c>
      <c r="D143" s="12" t="str">
        <f t="shared" ref="D143:D165" ca="1" si="55">IFERROR(INDIRECT("'"&amp;$A143&amp;"'!B4"),"")</f>
        <v/>
      </c>
      <c r="E143" s="7" t="str">
        <f t="shared" ca="1" si="54"/>
        <v/>
      </c>
      <c r="F143" s="9" t="str">
        <f t="shared" ref="F143:F165" ca="1" si="56">IFERROR(INDIRECT("'"&amp;$A143&amp;"'!B7"),"")</f>
        <v/>
      </c>
      <c r="G143" s="8" t="str">
        <f t="shared" ref="G143:G165" ca="1" si="57">IFERROR(INDIRECT("'"&amp;$A143&amp;"'!b9"),"")</f>
        <v/>
      </c>
      <c r="H143" s="10" t="str">
        <f t="shared" ca="1" si="42"/>
        <v/>
      </c>
      <c r="I143" s="10" t="str">
        <f t="shared" ca="1" si="43"/>
        <v/>
      </c>
      <c r="J143" s="10" t="str">
        <f t="shared" ca="1" si="44"/>
        <v/>
      </c>
      <c r="K143" s="10" t="str">
        <f t="shared" ca="1" si="45"/>
        <v/>
      </c>
      <c r="L143" s="22" t="str">
        <f t="shared" ca="1" si="46"/>
        <v/>
      </c>
      <c r="M143" s="11" t="str">
        <f t="shared" ca="1" si="47"/>
        <v/>
      </c>
    </row>
    <row r="144" spans="2:13" hidden="1" x14ac:dyDescent="0.25">
      <c r="B144" s="12" t="str">
        <f t="shared" ca="1" si="52"/>
        <v/>
      </c>
      <c r="C144" s="12" t="str">
        <f t="shared" ca="1" si="53"/>
        <v/>
      </c>
      <c r="D144" s="12" t="str">
        <f t="shared" ca="1" si="55"/>
        <v/>
      </c>
      <c r="E144" s="7" t="str">
        <f t="shared" ca="1" si="54"/>
        <v/>
      </c>
      <c r="F144" s="9" t="str">
        <f t="shared" ca="1" si="56"/>
        <v/>
      </c>
      <c r="G144" s="8" t="str">
        <f t="shared" ca="1" si="57"/>
        <v/>
      </c>
      <c r="H144" s="10" t="str">
        <f t="shared" ref="H144:H165" ca="1" si="58">IFERROR(INDIRECT("'"&amp;$A144&amp;"'!E9"),"")</f>
        <v/>
      </c>
      <c r="I144" s="10" t="str">
        <f t="shared" ref="I144:I165" ca="1" si="59">IFERROR(INDIRECT("'"&amp;$A144&amp;"'!E10"),"")</f>
        <v/>
      </c>
      <c r="J144" s="10" t="str">
        <f t="shared" ref="J144:J165" ca="1" si="60">IFERROR(INDIRECT("'"&amp;$A144&amp;"'!E11"),"")</f>
        <v/>
      </c>
      <c r="K144" s="10" t="str">
        <f t="shared" ref="K144:K165" ca="1" si="61">IFERROR(INDIRECT("'"&amp;$A144&amp;"'!E4"),"")</f>
        <v/>
      </c>
      <c r="L144" s="22" t="str">
        <f t="shared" ref="L144:L165" ca="1" si="62">IFERROR(INDIRECT("'"&amp;$A144&amp;"'!E6"),"")</f>
        <v/>
      </c>
      <c r="M144" s="11" t="str">
        <f t="shared" ca="1" si="47"/>
        <v/>
      </c>
    </row>
    <row r="145" spans="2:13" hidden="1" x14ac:dyDescent="0.25">
      <c r="B145" s="12" t="str">
        <f t="shared" ca="1" si="52"/>
        <v/>
      </c>
      <c r="C145" s="12" t="str">
        <f t="shared" ca="1" si="53"/>
        <v/>
      </c>
      <c r="D145" s="12" t="str">
        <f t="shared" ca="1" si="55"/>
        <v/>
      </c>
      <c r="E145" s="7" t="str">
        <f t="shared" ca="1" si="54"/>
        <v/>
      </c>
      <c r="F145" s="9" t="str">
        <f t="shared" ca="1" si="56"/>
        <v/>
      </c>
      <c r="G145" s="8" t="str">
        <f t="shared" ca="1" si="57"/>
        <v/>
      </c>
      <c r="H145" s="10" t="str">
        <f t="shared" ca="1" si="58"/>
        <v/>
      </c>
      <c r="I145" s="10" t="str">
        <f t="shared" ca="1" si="59"/>
        <v/>
      </c>
      <c r="J145" s="10" t="str">
        <f t="shared" ca="1" si="60"/>
        <v/>
      </c>
      <c r="K145" s="10" t="str">
        <f t="shared" ca="1" si="61"/>
        <v/>
      </c>
      <c r="L145" s="22" t="str">
        <f t="shared" ca="1" si="62"/>
        <v/>
      </c>
      <c r="M145" s="11" t="str">
        <f t="shared" ref="M145:M165" ca="1" si="63">IFERROR(INDIRECT("'"&amp;$A145&amp;"'!E5"),"")</f>
        <v/>
      </c>
    </row>
    <row r="146" spans="2:13" hidden="1" x14ac:dyDescent="0.25">
      <c r="B146" s="12" t="str">
        <f t="shared" ca="1" si="52"/>
        <v/>
      </c>
      <c r="C146" s="12" t="str">
        <f t="shared" ca="1" si="53"/>
        <v/>
      </c>
      <c r="D146" s="12" t="str">
        <f t="shared" ca="1" si="55"/>
        <v/>
      </c>
      <c r="E146" s="7" t="str">
        <f t="shared" ca="1" si="54"/>
        <v/>
      </c>
      <c r="F146" s="9" t="str">
        <f t="shared" ca="1" si="56"/>
        <v/>
      </c>
      <c r="G146" s="8" t="str">
        <f t="shared" ca="1" si="57"/>
        <v/>
      </c>
      <c r="H146" s="10" t="str">
        <f t="shared" ca="1" si="58"/>
        <v/>
      </c>
      <c r="I146" s="10" t="str">
        <f t="shared" ca="1" si="59"/>
        <v/>
      </c>
      <c r="J146" s="10" t="str">
        <f t="shared" ca="1" si="60"/>
        <v/>
      </c>
      <c r="K146" s="10" t="str">
        <f t="shared" ca="1" si="61"/>
        <v/>
      </c>
      <c r="L146" s="22" t="str">
        <f t="shared" ca="1" si="62"/>
        <v/>
      </c>
      <c r="M146" s="11" t="str">
        <f t="shared" ca="1" si="63"/>
        <v/>
      </c>
    </row>
    <row r="147" spans="2:13" hidden="1" x14ac:dyDescent="0.25">
      <c r="B147" s="12" t="str">
        <f t="shared" ca="1" si="52"/>
        <v/>
      </c>
      <c r="C147" s="12" t="str">
        <f t="shared" ca="1" si="53"/>
        <v/>
      </c>
      <c r="D147" s="12" t="str">
        <f t="shared" ca="1" si="55"/>
        <v/>
      </c>
      <c r="E147" s="7" t="str">
        <f t="shared" ca="1" si="54"/>
        <v/>
      </c>
      <c r="F147" s="9" t="str">
        <f t="shared" ca="1" si="56"/>
        <v/>
      </c>
      <c r="G147" s="8" t="str">
        <f t="shared" ca="1" si="57"/>
        <v/>
      </c>
      <c r="H147" s="10" t="str">
        <f t="shared" ca="1" si="58"/>
        <v/>
      </c>
      <c r="I147" s="10" t="str">
        <f t="shared" ca="1" si="59"/>
        <v/>
      </c>
      <c r="J147" s="10" t="str">
        <f t="shared" ca="1" si="60"/>
        <v/>
      </c>
      <c r="K147" s="10" t="str">
        <f t="shared" ca="1" si="61"/>
        <v/>
      </c>
      <c r="L147" s="22" t="str">
        <f t="shared" ca="1" si="62"/>
        <v/>
      </c>
      <c r="M147" s="11" t="str">
        <f t="shared" ca="1" si="63"/>
        <v/>
      </c>
    </row>
    <row r="148" spans="2:13" hidden="1" x14ac:dyDescent="0.25">
      <c r="B148" s="12" t="str">
        <f t="shared" ca="1" si="52"/>
        <v/>
      </c>
      <c r="C148" s="12" t="str">
        <f t="shared" ca="1" si="53"/>
        <v/>
      </c>
      <c r="D148" s="12" t="str">
        <f t="shared" ca="1" si="55"/>
        <v/>
      </c>
      <c r="E148" s="7" t="str">
        <f t="shared" ca="1" si="54"/>
        <v/>
      </c>
      <c r="F148" s="9" t="str">
        <f t="shared" ca="1" si="56"/>
        <v/>
      </c>
      <c r="G148" s="8" t="str">
        <f t="shared" ca="1" si="57"/>
        <v/>
      </c>
      <c r="H148" s="10" t="str">
        <f t="shared" ca="1" si="58"/>
        <v/>
      </c>
      <c r="I148" s="10" t="str">
        <f t="shared" ca="1" si="59"/>
        <v/>
      </c>
      <c r="J148" s="10" t="str">
        <f t="shared" ca="1" si="60"/>
        <v/>
      </c>
      <c r="K148" s="10" t="str">
        <f t="shared" ca="1" si="61"/>
        <v/>
      </c>
      <c r="L148" s="22" t="str">
        <f t="shared" ca="1" si="62"/>
        <v/>
      </c>
      <c r="M148" s="11" t="str">
        <f t="shared" ca="1" si="63"/>
        <v/>
      </c>
    </row>
    <row r="149" spans="2:13" hidden="1" x14ac:dyDescent="0.25">
      <c r="B149" s="12" t="str">
        <f t="shared" ca="1" si="52"/>
        <v/>
      </c>
      <c r="C149" s="12" t="str">
        <f t="shared" ca="1" si="53"/>
        <v/>
      </c>
      <c r="D149" s="12" t="str">
        <f t="shared" ca="1" si="55"/>
        <v/>
      </c>
      <c r="E149" s="7" t="str">
        <f t="shared" ca="1" si="54"/>
        <v/>
      </c>
      <c r="F149" s="9" t="str">
        <f t="shared" ca="1" si="56"/>
        <v/>
      </c>
      <c r="G149" s="8" t="str">
        <f t="shared" ca="1" si="57"/>
        <v/>
      </c>
      <c r="H149" s="10" t="str">
        <f t="shared" ca="1" si="58"/>
        <v/>
      </c>
      <c r="I149" s="10" t="str">
        <f t="shared" ca="1" si="59"/>
        <v/>
      </c>
      <c r="J149" s="10" t="str">
        <f t="shared" ca="1" si="60"/>
        <v/>
      </c>
      <c r="K149" s="10" t="str">
        <f t="shared" ca="1" si="61"/>
        <v/>
      </c>
      <c r="L149" s="22" t="str">
        <f t="shared" ca="1" si="62"/>
        <v/>
      </c>
      <c r="M149" s="11" t="str">
        <f t="shared" ca="1" si="63"/>
        <v/>
      </c>
    </row>
    <row r="150" spans="2:13" hidden="1" x14ac:dyDescent="0.25">
      <c r="B150" s="12" t="str">
        <f t="shared" ca="1" si="52"/>
        <v/>
      </c>
      <c r="C150" s="12" t="str">
        <f t="shared" ca="1" si="53"/>
        <v/>
      </c>
      <c r="D150" s="12" t="str">
        <f t="shared" ca="1" si="55"/>
        <v/>
      </c>
      <c r="E150" s="7" t="str">
        <f t="shared" ca="1" si="54"/>
        <v/>
      </c>
      <c r="F150" s="9" t="str">
        <f t="shared" ca="1" si="56"/>
        <v/>
      </c>
      <c r="G150" s="8" t="str">
        <f t="shared" ca="1" si="57"/>
        <v/>
      </c>
      <c r="H150" s="10" t="str">
        <f t="shared" ca="1" si="58"/>
        <v/>
      </c>
      <c r="I150" s="10" t="str">
        <f t="shared" ca="1" si="59"/>
        <v/>
      </c>
      <c r="J150" s="10" t="str">
        <f t="shared" ca="1" si="60"/>
        <v/>
      </c>
      <c r="K150" s="10" t="str">
        <f t="shared" ca="1" si="61"/>
        <v/>
      </c>
      <c r="L150" s="22" t="str">
        <f t="shared" ca="1" si="62"/>
        <v/>
      </c>
      <c r="M150" s="11" t="str">
        <f t="shared" ca="1" si="63"/>
        <v/>
      </c>
    </row>
    <row r="151" spans="2:13" hidden="1" x14ac:dyDescent="0.25">
      <c r="B151" s="12" t="str">
        <f t="shared" ca="1" si="52"/>
        <v/>
      </c>
      <c r="C151" s="12" t="str">
        <f t="shared" ca="1" si="53"/>
        <v/>
      </c>
      <c r="D151" s="12" t="str">
        <f t="shared" ca="1" si="55"/>
        <v/>
      </c>
      <c r="E151" s="7" t="str">
        <f t="shared" ca="1" si="54"/>
        <v/>
      </c>
      <c r="F151" s="9" t="str">
        <f t="shared" ca="1" si="56"/>
        <v/>
      </c>
      <c r="G151" s="8" t="str">
        <f t="shared" ca="1" si="57"/>
        <v/>
      </c>
      <c r="H151" s="10" t="str">
        <f t="shared" ca="1" si="58"/>
        <v/>
      </c>
      <c r="I151" s="10" t="str">
        <f t="shared" ca="1" si="59"/>
        <v/>
      </c>
      <c r="J151" s="10" t="str">
        <f t="shared" ca="1" si="60"/>
        <v/>
      </c>
      <c r="K151" s="10" t="str">
        <f t="shared" ca="1" si="61"/>
        <v/>
      </c>
      <c r="L151" s="22" t="str">
        <f t="shared" ca="1" si="62"/>
        <v/>
      </c>
      <c r="M151" s="11" t="str">
        <f t="shared" ca="1" si="63"/>
        <v/>
      </c>
    </row>
    <row r="152" spans="2:13" hidden="1" x14ac:dyDescent="0.25">
      <c r="B152" s="12" t="str">
        <f t="shared" ca="1" si="52"/>
        <v/>
      </c>
      <c r="C152" s="12" t="str">
        <f t="shared" ca="1" si="53"/>
        <v/>
      </c>
      <c r="D152" s="12" t="str">
        <f t="shared" ca="1" si="55"/>
        <v/>
      </c>
      <c r="E152" s="7" t="str">
        <f t="shared" ca="1" si="54"/>
        <v/>
      </c>
      <c r="F152" s="9" t="str">
        <f t="shared" ca="1" si="56"/>
        <v/>
      </c>
      <c r="G152" s="8" t="str">
        <f t="shared" ca="1" si="57"/>
        <v/>
      </c>
      <c r="H152" s="10" t="str">
        <f t="shared" ca="1" si="58"/>
        <v/>
      </c>
      <c r="I152" s="10" t="str">
        <f t="shared" ca="1" si="59"/>
        <v/>
      </c>
      <c r="J152" s="10" t="str">
        <f t="shared" ca="1" si="60"/>
        <v/>
      </c>
      <c r="K152" s="10" t="str">
        <f t="shared" ca="1" si="61"/>
        <v/>
      </c>
      <c r="L152" s="22" t="str">
        <f t="shared" ca="1" si="62"/>
        <v/>
      </c>
      <c r="M152" s="11" t="str">
        <f t="shared" ca="1" si="63"/>
        <v/>
      </c>
    </row>
    <row r="153" spans="2:13" hidden="1" x14ac:dyDescent="0.25">
      <c r="B153" s="12" t="str">
        <f t="shared" ca="1" si="52"/>
        <v/>
      </c>
      <c r="C153" s="12" t="str">
        <f t="shared" ca="1" si="53"/>
        <v/>
      </c>
      <c r="D153" s="12" t="str">
        <f t="shared" ca="1" si="55"/>
        <v/>
      </c>
      <c r="E153" s="7" t="str">
        <f t="shared" ca="1" si="54"/>
        <v/>
      </c>
      <c r="F153" s="9" t="str">
        <f t="shared" ca="1" si="56"/>
        <v/>
      </c>
      <c r="G153" s="8" t="str">
        <f t="shared" ca="1" si="57"/>
        <v/>
      </c>
      <c r="H153" s="10" t="str">
        <f t="shared" ca="1" si="58"/>
        <v/>
      </c>
      <c r="I153" s="10" t="str">
        <f t="shared" ca="1" si="59"/>
        <v/>
      </c>
      <c r="J153" s="10" t="str">
        <f t="shared" ca="1" si="60"/>
        <v/>
      </c>
      <c r="K153" s="10" t="str">
        <f t="shared" ca="1" si="61"/>
        <v/>
      </c>
      <c r="L153" s="22" t="str">
        <f t="shared" ca="1" si="62"/>
        <v/>
      </c>
      <c r="M153" s="11" t="str">
        <f t="shared" ca="1" si="63"/>
        <v/>
      </c>
    </row>
    <row r="154" spans="2:13" hidden="1" x14ac:dyDescent="0.25">
      <c r="B154" s="12" t="str">
        <f t="shared" ca="1" si="52"/>
        <v/>
      </c>
      <c r="C154" s="12" t="str">
        <f t="shared" ca="1" si="53"/>
        <v/>
      </c>
      <c r="D154" s="12" t="str">
        <f t="shared" ca="1" si="55"/>
        <v/>
      </c>
      <c r="E154" s="7" t="str">
        <f t="shared" ca="1" si="54"/>
        <v/>
      </c>
      <c r="F154" s="9" t="str">
        <f t="shared" ca="1" si="56"/>
        <v/>
      </c>
      <c r="G154" s="8" t="str">
        <f t="shared" ca="1" si="57"/>
        <v/>
      </c>
      <c r="H154" s="10" t="str">
        <f t="shared" ca="1" si="58"/>
        <v/>
      </c>
      <c r="I154" s="10" t="str">
        <f t="shared" ca="1" si="59"/>
        <v/>
      </c>
      <c r="J154" s="10" t="str">
        <f t="shared" ca="1" si="60"/>
        <v/>
      </c>
      <c r="K154" s="10" t="str">
        <f t="shared" ca="1" si="61"/>
        <v/>
      </c>
      <c r="L154" s="22" t="str">
        <f t="shared" ca="1" si="62"/>
        <v/>
      </c>
      <c r="M154" s="11" t="str">
        <f t="shared" ca="1" si="63"/>
        <v/>
      </c>
    </row>
    <row r="155" spans="2:13" hidden="1" x14ac:dyDescent="0.25">
      <c r="B155" s="12" t="str">
        <f t="shared" ca="1" si="52"/>
        <v/>
      </c>
      <c r="C155" s="12" t="str">
        <f t="shared" ca="1" si="53"/>
        <v/>
      </c>
      <c r="D155" s="12" t="str">
        <f t="shared" ca="1" si="55"/>
        <v/>
      </c>
      <c r="E155" s="7" t="str">
        <f t="shared" ca="1" si="54"/>
        <v/>
      </c>
      <c r="F155" s="9" t="str">
        <f t="shared" ca="1" si="56"/>
        <v/>
      </c>
      <c r="G155" s="8" t="str">
        <f t="shared" ca="1" si="57"/>
        <v/>
      </c>
      <c r="H155" s="10" t="str">
        <f t="shared" ca="1" si="58"/>
        <v/>
      </c>
      <c r="I155" s="10" t="str">
        <f t="shared" ca="1" si="59"/>
        <v/>
      </c>
      <c r="J155" s="10" t="str">
        <f t="shared" ca="1" si="60"/>
        <v/>
      </c>
      <c r="K155" s="10" t="str">
        <f t="shared" ca="1" si="61"/>
        <v/>
      </c>
      <c r="L155" s="22" t="str">
        <f t="shared" ca="1" si="62"/>
        <v/>
      </c>
      <c r="M155" s="11" t="str">
        <f t="shared" ca="1" si="63"/>
        <v/>
      </c>
    </row>
    <row r="156" spans="2:13" hidden="1" x14ac:dyDescent="0.25">
      <c r="B156" s="12" t="str">
        <f t="shared" ca="1" si="52"/>
        <v/>
      </c>
      <c r="C156" s="12" t="str">
        <f t="shared" ca="1" si="53"/>
        <v/>
      </c>
      <c r="D156" s="12" t="str">
        <f t="shared" ca="1" si="55"/>
        <v/>
      </c>
      <c r="E156" s="7" t="str">
        <f t="shared" ca="1" si="54"/>
        <v/>
      </c>
      <c r="F156" s="9" t="str">
        <f t="shared" ca="1" si="56"/>
        <v/>
      </c>
      <c r="G156" s="8" t="str">
        <f t="shared" ca="1" si="57"/>
        <v/>
      </c>
      <c r="H156" s="10" t="str">
        <f t="shared" ca="1" si="58"/>
        <v/>
      </c>
      <c r="I156" s="10" t="str">
        <f t="shared" ca="1" si="59"/>
        <v/>
      </c>
      <c r="J156" s="10" t="str">
        <f t="shared" ca="1" si="60"/>
        <v/>
      </c>
      <c r="K156" s="10" t="str">
        <f t="shared" ca="1" si="61"/>
        <v/>
      </c>
      <c r="L156" s="22" t="str">
        <f t="shared" ca="1" si="62"/>
        <v/>
      </c>
      <c r="M156" s="11" t="str">
        <f t="shared" ca="1" si="63"/>
        <v/>
      </c>
    </row>
    <row r="157" spans="2:13" hidden="1" x14ac:dyDescent="0.25">
      <c r="B157" s="12" t="str">
        <f t="shared" ca="1" si="52"/>
        <v/>
      </c>
      <c r="C157" s="12" t="str">
        <f t="shared" ca="1" si="53"/>
        <v/>
      </c>
      <c r="D157" s="12" t="str">
        <f t="shared" ca="1" si="55"/>
        <v/>
      </c>
      <c r="E157" s="7" t="str">
        <f t="shared" ca="1" si="54"/>
        <v/>
      </c>
      <c r="F157" s="9" t="str">
        <f t="shared" ca="1" si="56"/>
        <v/>
      </c>
      <c r="G157" s="8" t="str">
        <f t="shared" ca="1" si="57"/>
        <v/>
      </c>
      <c r="H157" s="10" t="str">
        <f t="shared" ca="1" si="58"/>
        <v/>
      </c>
      <c r="I157" s="10" t="str">
        <f t="shared" ca="1" si="59"/>
        <v/>
      </c>
      <c r="J157" s="10" t="str">
        <f t="shared" ca="1" si="60"/>
        <v/>
      </c>
      <c r="K157" s="10" t="str">
        <f t="shared" ca="1" si="61"/>
        <v/>
      </c>
      <c r="L157" s="22" t="str">
        <f t="shared" ca="1" si="62"/>
        <v/>
      </c>
      <c r="M157" s="11" t="str">
        <f t="shared" ca="1" si="63"/>
        <v/>
      </c>
    </row>
    <row r="158" spans="2:13" hidden="1" x14ac:dyDescent="0.25">
      <c r="B158" s="12" t="str">
        <f t="shared" ca="1" si="52"/>
        <v/>
      </c>
      <c r="C158" s="12" t="str">
        <f t="shared" ca="1" si="53"/>
        <v/>
      </c>
      <c r="D158" s="12" t="str">
        <f t="shared" ca="1" si="55"/>
        <v/>
      </c>
      <c r="E158" s="7" t="str">
        <f t="shared" ca="1" si="54"/>
        <v/>
      </c>
      <c r="F158" s="9" t="str">
        <f t="shared" ca="1" si="56"/>
        <v/>
      </c>
      <c r="G158" s="8" t="str">
        <f t="shared" ca="1" si="57"/>
        <v/>
      </c>
      <c r="H158" s="10" t="str">
        <f t="shared" ca="1" si="58"/>
        <v/>
      </c>
      <c r="I158" s="10" t="str">
        <f t="shared" ca="1" si="59"/>
        <v/>
      </c>
      <c r="J158" s="10" t="str">
        <f t="shared" ca="1" si="60"/>
        <v/>
      </c>
      <c r="K158" s="10" t="str">
        <f t="shared" ca="1" si="61"/>
        <v/>
      </c>
      <c r="L158" s="22" t="str">
        <f t="shared" ca="1" si="62"/>
        <v/>
      </c>
      <c r="M158" s="11" t="str">
        <f t="shared" ca="1" si="63"/>
        <v/>
      </c>
    </row>
    <row r="159" spans="2:13" hidden="1" x14ac:dyDescent="0.25">
      <c r="B159" s="12" t="str">
        <f t="shared" ca="1" si="52"/>
        <v/>
      </c>
      <c r="C159" s="12" t="str">
        <f t="shared" ca="1" si="53"/>
        <v/>
      </c>
      <c r="D159" s="12" t="str">
        <f t="shared" ca="1" si="55"/>
        <v/>
      </c>
      <c r="E159" s="7" t="str">
        <f t="shared" ca="1" si="54"/>
        <v/>
      </c>
      <c r="F159" s="9" t="str">
        <f t="shared" ca="1" si="56"/>
        <v/>
      </c>
      <c r="G159" s="8" t="str">
        <f t="shared" ca="1" si="57"/>
        <v/>
      </c>
      <c r="H159" s="10" t="str">
        <f t="shared" ca="1" si="58"/>
        <v/>
      </c>
      <c r="I159" s="10" t="str">
        <f t="shared" ca="1" si="59"/>
        <v/>
      </c>
      <c r="J159" s="10" t="str">
        <f t="shared" ca="1" si="60"/>
        <v/>
      </c>
      <c r="K159" s="10" t="str">
        <f t="shared" ca="1" si="61"/>
        <v/>
      </c>
      <c r="L159" s="22" t="str">
        <f t="shared" ca="1" si="62"/>
        <v/>
      </c>
      <c r="M159" s="11" t="str">
        <f t="shared" ca="1" si="63"/>
        <v/>
      </c>
    </row>
    <row r="160" spans="2:13" hidden="1" x14ac:dyDescent="0.25">
      <c r="B160" s="12" t="str">
        <f t="shared" ca="1" si="52"/>
        <v/>
      </c>
      <c r="C160" s="12" t="str">
        <f t="shared" ca="1" si="53"/>
        <v/>
      </c>
      <c r="D160" s="12" t="str">
        <f t="shared" ca="1" si="55"/>
        <v/>
      </c>
      <c r="E160" s="7" t="str">
        <f t="shared" ca="1" si="54"/>
        <v/>
      </c>
      <c r="F160" s="9" t="str">
        <f t="shared" ca="1" si="56"/>
        <v/>
      </c>
      <c r="G160" s="8" t="str">
        <f t="shared" ca="1" si="57"/>
        <v/>
      </c>
      <c r="H160" s="10" t="str">
        <f t="shared" ca="1" si="58"/>
        <v/>
      </c>
      <c r="I160" s="10" t="str">
        <f t="shared" ca="1" si="59"/>
        <v/>
      </c>
      <c r="J160" s="10" t="str">
        <f t="shared" ca="1" si="60"/>
        <v/>
      </c>
      <c r="K160" s="10" t="str">
        <f t="shared" ca="1" si="61"/>
        <v/>
      </c>
      <c r="L160" s="22" t="str">
        <f t="shared" ca="1" si="62"/>
        <v/>
      </c>
      <c r="M160" s="11" t="str">
        <f t="shared" ca="1" si="63"/>
        <v/>
      </c>
    </row>
    <row r="161" spans="2:13" hidden="1" x14ac:dyDescent="0.25">
      <c r="B161" s="12" t="str">
        <f t="shared" ca="1" si="52"/>
        <v/>
      </c>
      <c r="C161" s="12" t="str">
        <f t="shared" ca="1" si="53"/>
        <v/>
      </c>
      <c r="D161" s="12" t="str">
        <f t="shared" ca="1" si="55"/>
        <v/>
      </c>
      <c r="E161" s="7" t="str">
        <f t="shared" ca="1" si="54"/>
        <v/>
      </c>
      <c r="F161" s="9" t="str">
        <f t="shared" ca="1" si="56"/>
        <v/>
      </c>
      <c r="G161" s="8" t="str">
        <f t="shared" ca="1" si="57"/>
        <v/>
      </c>
      <c r="H161" s="10" t="str">
        <f t="shared" ca="1" si="58"/>
        <v/>
      </c>
      <c r="I161" s="10" t="str">
        <f t="shared" ca="1" si="59"/>
        <v/>
      </c>
      <c r="J161" s="10" t="str">
        <f t="shared" ca="1" si="60"/>
        <v/>
      </c>
      <c r="K161" s="10" t="str">
        <f t="shared" ca="1" si="61"/>
        <v/>
      </c>
      <c r="L161" s="22" t="str">
        <f t="shared" ca="1" si="62"/>
        <v/>
      </c>
      <c r="M161" s="11" t="str">
        <f t="shared" ca="1" si="63"/>
        <v/>
      </c>
    </row>
    <row r="162" spans="2:13" hidden="1" x14ac:dyDescent="0.25">
      <c r="B162" s="12" t="str">
        <f t="shared" ca="1" si="52"/>
        <v/>
      </c>
      <c r="C162" s="12" t="str">
        <f t="shared" ca="1" si="53"/>
        <v/>
      </c>
      <c r="D162" s="12" t="str">
        <f t="shared" ca="1" si="55"/>
        <v/>
      </c>
      <c r="E162" s="7" t="str">
        <f t="shared" ca="1" si="54"/>
        <v/>
      </c>
      <c r="F162" s="9" t="str">
        <f t="shared" ca="1" si="56"/>
        <v/>
      </c>
      <c r="G162" s="8" t="str">
        <f t="shared" ca="1" si="57"/>
        <v/>
      </c>
      <c r="H162" s="10" t="str">
        <f t="shared" ca="1" si="58"/>
        <v/>
      </c>
      <c r="I162" s="10" t="str">
        <f t="shared" ca="1" si="59"/>
        <v/>
      </c>
      <c r="J162" s="10" t="str">
        <f t="shared" ca="1" si="60"/>
        <v/>
      </c>
      <c r="K162" s="10" t="str">
        <f t="shared" ca="1" si="61"/>
        <v/>
      </c>
      <c r="L162" s="22" t="str">
        <f t="shared" ca="1" si="62"/>
        <v/>
      </c>
      <c r="M162" s="11" t="str">
        <f t="shared" ca="1" si="63"/>
        <v/>
      </c>
    </row>
    <row r="163" spans="2:13" hidden="1" x14ac:dyDescent="0.25">
      <c r="B163" s="12" t="str">
        <f t="shared" ca="1" si="52"/>
        <v/>
      </c>
      <c r="C163" s="12" t="str">
        <f t="shared" ca="1" si="53"/>
        <v/>
      </c>
      <c r="D163" s="12" t="str">
        <f t="shared" ca="1" si="55"/>
        <v/>
      </c>
      <c r="E163" s="7" t="str">
        <f t="shared" ca="1" si="54"/>
        <v/>
      </c>
      <c r="F163" s="9" t="str">
        <f t="shared" ca="1" si="56"/>
        <v/>
      </c>
      <c r="G163" s="8" t="str">
        <f t="shared" ca="1" si="57"/>
        <v/>
      </c>
      <c r="H163" s="10" t="str">
        <f t="shared" ca="1" si="58"/>
        <v/>
      </c>
      <c r="I163" s="10" t="str">
        <f t="shared" ca="1" si="59"/>
        <v/>
      </c>
      <c r="J163" s="10" t="str">
        <f t="shared" ca="1" si="60"/>
        <v/>
      </c>
      <c r="K163" s="10" t="str">
        <f t="shared" ca="1" si="61"/>
        <v/>
      </c>
      <c r="L163" s="22" t="str">
        <f t="shared" ca="1" si="62"/>
        <v/>
      </c>
      <c r="M163" s="11" t="str">
        <f t="shared" ca="1" si="63"/>
        <v/>
      </c>
    </row>
    <row r="164" spans="2:13" hidden="1" x14ac:dyDescent="0.25">
      <c r="B164" s="12" t="str">
        <f t="shared" ca="1" si="52"/>
        <v/>
      </c>
      <c r="C164" s="12" t="str">
        <f t="shared" ca="1" si="53"/>
        <v/>
      </c>
      <c r="D164" s="12" t="str">
        <f t="shared" ca="1" si="55"/>
        <v/>
      </c>
      <c r="E164" s="7" t="str">
        <f t="shared" ca="1" si="54"/>
        <v/>
      </c>
      <c r="F164" s="9" t="str">
        <f t="shared" ca="1" si="56"/>
        <v/>
      </c>
      <c r="G164" s="8" t="str">
        <f t="shared" ca="1" si="57"/>
        <v/>
      </c>
      <c r="H164" s="10" t="str">
        <f t="shared" ca="1" si="58"/>
        <v/>
      </c>
      <c r="I164" s="10" t="str">
        <f t="shared" ca="1" si="59"/>
        <v/>
      </c>
      <c r="J164" s="10" t="str">
        <f t="shared" ca="1" si="60"/>
        <v/>
      </c>
      <c r="K164" s="10" t="str">
        <f t="shared" ca="1" si="61"/>
        <v/>
      </c>
      <c r="L164" s="22" t="str">
        <f t="shared" ca="1" si="62"/>
        <v/>
      </c>
      <c r="M164" s="11" t="str">
        <f t="shared" ca="1" si="63"/>
        <v/>
      </c>
    </row>
    <row r="165" spans="2:13" ht="11.25" hidden="1" customHeight="1" x14ac:dyDescent="0.25">
      <c r="B165" s="12" t="str">
        <f t="shared" ca="1" si="52"/>
        <v/>
      </c>
      <c r="C165" s="12" t="str">
        <f t="shared" ca="1" si="53"/>
        <v/>
      </c>
      <c r="D165" s="12" t="str">
        <f t="shared" ca="1" si="55"/>
        <v/>
      </c>
      <c r="E165" s="7" t="str">
        <f t="shared" ca="1" si="54"/>
        <v/>
      </c>
      <c r="F165" s="9" t="str">
        <f t="shared" ca="1" si="56"/>
        <v/>
      </c>
      <c r="G165" s="8" t="str">
        <f t="shared" ca="1" si="57"/>
        <v/>
      </c>
      <c r="H165" s="10" t="str">
        <f t="shared" ca="1" si="58"/>
        <v/>
      </c>
      <c r="I165" s="10" t="str">
        <f t="shared" ca="1" si="59"/>
        <v/>
      </c>
      <c r="J165" s="10" t="str">
        <f t="shared" ca="1" si="60"/>
        <v/>
      </c>
      <c r="K165" s="10" t="str">
        <f t="shared" ca="1" si="61"/>
        <v/>
      </c>
      <c r="L165" s="22" t="str">
        <f t="shared" ca="1" si="62"/>
        <v/>
      </c>
      <c r="M165" s="11" t="str">
        <f t="shared" ca="1" si="63"/>
        <v/>
      </c>
    </row>
    <row r="166" spans="2:13" x14ac:dyDescent="0.25">
      <c r="B166" s="97" t="s">
        <v>11</v>
      </c>
      <c r="C166" s="97"/>
      <c r="D166" s="97"/>
      <c r="E166" s="97"/>
      <c r="F166" s="97"/>
      <c r="G166" s="13">
        <f ca="1">SUM(G14:G165)</f>
        <v>424.13037500000002</v>
      </c>
      <c r="H166" s="98"/>
      <c r="I166" s="98"/>
      <c r="J166" s="98"/>
      <c r="K166" s="97"/>
      <c r="L166" s="97"/>
      <c r="M166" s="99"/>
    </row>
    <row r="167" spans="2:13" x14ac:dyDescent="0.25">
      <c r="D167" s="36"/>
      <c r="E167" s="36"/>
      <c r="F167" s="36"/>
      <c r="G167" s="36"/>
      <c r="H167" s="36"/>
      <c r="I167" s="36"/>
      <c r="J167" s="36"/>
      <c r="K167" s="36"/>
      <c r="L167" s="36"/>
      <c r="M167" s="15"/>
    </row>
    <row r="168" spans="2:13" x14ac:dyDescent="0.25">
      <c r="D168" s="36"/>
      <c r="E168" s="36"/>
      <c r="F168" s="36"/>
      <c r="G168" s="36"/>
      <c r="H168" s="36"/>
      <c r="I168" s="36"/>
      <c r="J168" s="36"/>
      <c r="K168" s="36"/>
      <c r="L168" s="36"/>
      <c r="M168" s="15"/>
    </row>
  </sheetData>
  <sheetProtection sheet="1" objects="1" scenarios="1"/>
  <sortState xmlns:xlrd2="http://schemas.microsoft.com/office/spreadsheetml/2017/richdata2" ref="A14:N61">
    <sortCondition ref="C14"/>
  </sortState>
  <mergeCells count="14">
    <mergeCell ref="E12:E13"/>
    <mergeCell ref="D12:D13"/>
    <mergeCell ref="H12:J12"/>
    <mergeCell ref="K12:K13"/>
    <mergeCell ref="M12:M13"/>
    <mergeCell ref="G12:G13"/>
    <mergeCell ref="F12:F13"/>
    <mergeCell ref="C12:C13"/>
    <mergeCell ref="B12:B13"/>
    <mergeCell ref="B3:D3"/>
    <mergeCell ref="B4:D4"/>
    <mergeCell ref="B5:D5"/>
    <mergeCell ref="B6:D6"/>
    <mergeCell ref="B7:D7"/>
  </mergeCells>
  <phoneticPr fontId="3" type="noConversion"/>
  <dataValidations count="1">
    <dataValidation type="decimal" allowBlank="1" showInputMessage="1" showErrorMessage="1" sqref="E4" xr:uid="{00000000-0002-0000-0100-000000000000}">
      <formula1>0</formula1>
      <formula2>1</formula2>
    </dataValidation>
  </dataValidations>
  <pageMargins left="0.74803149606299213" right="0.74803149606299213" top="1.2598425196850394" bottom="0.98425196850393704" header="0.51181102362204722" footer="0.51181102362204722"/>
  <pageSetup paperSize="9" scale="52" orientation="landscape" r:id="rId1"/>
  <headerFooter scaleWithDoc="0">
    <oddHeader>&amp;L&amp;"Verdana,Normal"&amp;13Syddjurs Kommune - Stiprioritering
&amp;8Cykel- og stiprojekter&amp;R&amp;"Verdana,Normal"&amp;8&amp;P / &amp;N</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1052" r:id="rId5" name="Button 28">
              <controlPr defaultSize="0" print="0" autoFill="0" autoPict="0" macro="[0]!NytArk">
                <anchor>
                  <from>
                    <xdr:col>5</xdr:col>
                    <xdr:colOff>2247900</xdr:colOff>
                    <xdr:row>1</xdr:row>
                    <xdr:rowOff>38100</xdr:rowOff>
                  </from>
                  <to>
                    <xdr:col>5</xdr:col>
                    <xdr:colOff>3352800</xdr:colOff>
                    <xdr:row>1</xdr:row>
                    <xdr:rowOff>247650</xdr:rowOff>
                  </to>
                </anchor>
              </controlPr>
            </control>
          </mc:Choice>
        </mc:AlternateContent>
        <mc:AlternateContent xmlns:mc="http://schemas.openxmlformats.org/markup-compatibility/2006">
          <mc:Choice Requires="x14">
            <control shapeId="1053" r:id="rId6" name="Button 29">
              <controlPr defaultSize="0" print="0" autoFill="0" autoPict="0" macro="[0]!Sheet1.prioriter_kr_effekt">
                <anchor>
                  <from>
                    <xdr:col>5</xdr:col>
                    <xdr:colOff>2247900</xdr:colOff>
                    <xdr:row>4</xdr:row>
                    <xdr:rowOff>0</xdr:rowOff>
                  </from>
                  <to>
                    <xdr:col>6</xdr:col>
                    <xdr:colOff>381000</xdr:colOff>
                    <xdr:row>6</xdr:row>
                    <xdr:rowOff>57150</xdr:rowOff>
                  </to>
                </anchor>
              </controlPr>
            </control>
          </mc:Choice>
        </mc:AlternateContent>
        <mc:AlternateContent xmlns:mc="http://schemas.openxmlformats.org/markup-compatibility/2006">
          <mc:Choice Requires="x14">
            <control shapeId="1054" r:id="rId7" name="Button 30">
              <controlPr defaultSize="0" print="0" autoFill="0" autoPict="0" macro="[0]!nulstil">
                <anchor>
                  <from>
                    <xdr:col>5</xdr:col>
                    <xdr:colOff>2247900</xdr:colOff>
                    <xdr:row>2</xdr:row>
                    <xdr:rowOff>19050</xdr:rowOff>
                  </from>
                  <to>
                    <xdr:col>5</xdr:col>
                    <xdr:colOff>3352800</xdr:colOff>
                    <xdr:row>3</xdr:row>
                    <xdr:rowOff>57150</xdr:rowOff>
                  </to>
                </anchor>
              </controlPr>
            </control>
          </mc:Choice>
        </mc:AlternateContent>
        <mc:AlternateContent xmlns:mc="http://schemas.openxmlformats.org/markup-compatibility/2006">
          <mc:Choice Requires="x14">
            <control shapeId="1058" r:id="rId8" name="Button 34">
              <controlPr defaultSize="0" print="0" autoFill="0" autoPict="0" macro="[0]!Sheet1.Prioriter_effekt">
                <anchor>
                  <from>
                    <xdr:col>5</xdr:col>
                    <xdr:colOff>2247900</xdr:colOff>
                    <xdr:row>6</xdr:row>
                    <xdr:rowOff>127000</xdr:rowOff>
                  </from>
                  <to>
                    <xdr:col>6</xdr:col>
                    <xdr:colOff>361950</xdr:colOff>
                    <xdr:row>8</xdr:row>
                    <xdr:rowOff>146050</xdr:rowOff>
                  </to>
                </anchor>
              </controlPr>
            </control>
          </mc:Choice>
        </mc:AlternateContent>
      </controls>
    </mc:Choice>
  </mc:AlternateConten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75CDA-9EED-4B7F-A4AC-221637F6C1F7}">
  <sheetPr codeName="Sheet85"/>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28</v>
      </c>
      <c r="C4" s="151"/>
      <c r="D4" s="38" t="s">
        <v>2</v>
      </c>
      <c r="E4" s="115">
        <f>IF(K30&gt;0,K30,"")</f>
        <v>1.2000000000000002</v>
      </c>
      <c r="G4" s="133" t="s">
        <v>173</v>
      </c>
      <c r="H4" s="124"/>
      <c r="L4" s="139" t="s">
        <v>5</v>
      </c>
      <c r="M4" s="284" t="s">
        <v>466</v>
      </c>
      <c r="N4" s="260"/>
    </row>
    <row r="5" spans="1:14" ht="25" x14ac:dyDescent="0.25">
      <c r="A5" s="37" t="s">
        <v>96</v>
      </c>
      <c r="B5" s="18" t="s">
        <v>314</v>
      </c>
      <c r="C5" s="164" t="s">
        <v>315</v>
      </c>
      <c r="D5" s="38" t="s">
        <v>84</v>
      </c>
      <c r="E5" s="115">
        <f>IF(B9&gt;0,E4/B9,"")</f>
        <v>0.11797959936094385</v>
      </c>
      <c r="G5" s="122" t="s">
        <v>98</v>
      </c>
      <c r="H5" s="123" t="s">
        <v>149</v>
      </c>
    </row>
    <row r="6" spans="1:14" ht="13" thickBot="1" x14ac:dyDescent="0.3">
      <c r="A6" s="38" t="s">
        <v>97</v>
      </c>
      <c r="B6" s="19" t="s">
        <v>316</v>
      </c>
      <c r="C6" s="151"/>
      <c r="D6" s="116" t="s">
        <v>85</v>
      </c>
      <c r="E6" s="117">
        <f>IF(E4="","",IF(E4&gt;=Forside!$H$7,4,IF(E4&gt;=Forside!$H$8,3,IF(E4&gt;=Forside!$H$9,2,IF(E4&gt;0,1,"")))))</f>
        <v>2</v>
      </c>
      <c r="G6" s="38" t="s">
        <v>99</v>
      </c>
      <c r="H6" s="40">
        <v>45</v>
      </c>
    </row>
    <row r="7" spans="1:14" ht="13" thickBot="1" x14ac:dyDescent="0.3">
      <c r="A7" s="38" t="s">
        <v>77</v>
      </c>
      <c r="B7" s="19" t="s">
        <v>192</v>
      </c>
      <c r="C7" s="151"/>
      <c r="D7" s="27"/>
      <c r="E7" s="28"/>
      <c r="G7" s="17" t="s">
        <v>66</v>
      </c>
      <c r="H7" s="42">
        <v>60</v>
      </c>
    </row>
    <row r="8" spans="1:14" ht="13" x14ac:dyDescent="0.3">
      <c r="A8" s="38" t="s">
        <v>91</v>
      </c>
      <c r="B8" s="14">
        <v>2.5</v>
      </c>
      <c r="C8" s="2"/>
      <c r="D8" s="118" t="s">
        <v>87</v>
      </c>
      <c r="E8" s="114"/>
      <c r="G8" s="38" t="s">
        <v>100</v>
      </c>
      <c r="H8" s="14">
        <v>56</v>
      </c>
    </row>
    <row r="9" spans="1:14" ht="13" thickBot="1" x14ac:dyDescent="0.3">
      <c r="A9" s="125" t="s">
        <v>6</v>
      </c>
      <c r="B9" s="20">
        <f>J55/1000000</f>
        <v>10.171250000000001</v>
      </c>
      <c r="C9" s="2"/>
      <c r="D9" s="38" t="s">
        <v>112</v>
      </c>
      <c r="E9" s="119">
        <f>K16</f>
        <v>0.45000000000000007</v>
      </c>
      <c r="G9" s="38" t="s">
        <v>101</v>
      </c>
      <c r="H9" s="14">
        <v>67</v>
      </c>
    </row>
    <row r="10" spans="1:14" x14ac:dyDescent="0.25">
      <c r="C10" s="36"/>
      <c r="D10" s="38" t="s">
        <v>123</v>
      </c>
      <c r="E10" s="120">
        <f>K22</f>
        <v>0.30000000000000004</v>
      </c>
      <c r="G10" s="38" t="s">
        <v>102</v>
      </c>
      <c r="H10" s="14">
        <v>0</v>
      </c>
    </row>
    <row r="11" spans="1:14" ht="24.75" customHeight="1" thickBot="1" x14ac:dyDescent="0.3">
      <c r="C11" s="36"/>
      <c r="D11" s="116" t="s">
        <v>130</v>
      </c>
      <c r="E11" s="121">
        <f>K26</f>
        <v>0.45</v>
      </c>
    </row>
    <row r="12" spans="1:14" ht="13.5" thickBot="1" x14ac:dyDescent="0.3">
      <c r="A12" s="135" t="s">
        <v>17</v>
      </c>
      <c r="B12" s="105"/>
      <c r="C12" s="17"/>
      <c r="D12" s="17"/>
      <c r="E12"/>
    </row>
    <row r="13" spans="1:14" ht="13" x14ac:dyDescent="0.25">
      <c r="A13" s="261" t="s">
        <v>317</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0.45000000000000007</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318</v>
      </c>
      <c r="B19" s="268"/>
      <c r="C19" s="112"/>
      <c r="D19" s="112"/>
      <c r="E19" s="39"/>
      <c r="G19" s="41" t="s">
        <v>66</v>
      </c>
      <c r="H19" s="104">
        <f>IF(H7="","",H7)</f>
        <v>60</v>
      </c>
      <c r="I19" s="85">
        <f>Forside!E7</f>
        <v>0.05</v>
      </c>
      <c r="J19" s="64">
        <f>IF(H19=A69,B69,IF(H19=A70,B70,IF(H19=A71,B71,IF(H19=A72,B72,IF(H19=A73,B73,IF(H19=A74,B74,IF(H19=A75,B75,IF(H19=A76,B76,IF(H19=A77,B77,IF(H19=A78,B78,""))))))))))</f>
        <v>2</v>
      </c>
      <c r="K19" s="65">
        <f t="shared" si="0"/>
        <v>0.1</v>
      </c>
    </row>
    <row r="20" spans="1:11" ht="15.75" customHeight="1" thickBot="1" x14ac:dyDescent="0.3">
      <c r="A20" s="269"/>
      <c r="B20" s="270"/>
      <c r="C20" s="112"/>
      <c r="D20" s="112"/>
      <c r="E20" s="39"/>
      <c r="G20" s="41" t="s">
        <v>89</v>
      </c>
      <c r="H20" s="104">
        <f>IF(H9="","",H9)</f>
        <v>67</v>
      </c>
      <c r="I20" s="85">
        <f>Forside!E8</f>
        <v>0.05</v>
      </c>
      <c r="J20" s="66">
        <f>IF(H20="","",IF(H19="","",IF(H20&lt;=H19,0,IF(H20&lt;H19*1.05,1,IF(H20&lt;H19*1.1,2,IF(H20&lt;H19*1.15,3,IF(H20&gt;=H19*1.15,4,"")))))))</f>
        <v>3</v>
      </c>
      <c r="K20" s="65">
        <f t="shared" si="0"/>
        <v>0.15000000000000002</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3</v>
      </c>
      <c r="D26" s="156">
        <v>0</v>
      </c>
      <c r="E26" s="39"/>
      <c r="G26" s="57" t="s">
        <v>130</v>
      </c>
      <c r="H26" s="58"/>
      <c r="I26" s="59">
        <f>Forside!E14</f>
        <v>0.5</v>
      </c>
      <c r="J26" s="58"/>
      <c r="K26" s="60">
        <f>IF(J27="","",SUM(K27:K29))</f>
        <v>0.45</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63</v>
      </c>
      <c r="I28" s="85">
        <f>Forside!E16</f>
        <v>0.05</v>
      </c>
      <c r="J28" s="128">
        <f>IF(H28=A128,B128,IF(H28=A129,B129,(IF(H28=A130,B130,(IF(H28=A131,B131,(IF(H28=A132,B132,""))))))))</f>
        <v>4</v>
      </c>
      <c r="K28" s="131">
        <f t="shared" si="0"/>
        <v>0.2</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1.2000000000000002</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441</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2500</v>
      </c>
      <c r="I46" s="141">
        <f>Enhedspriser!C3</f>
        <v>3750</v>
      </c>
      <c r="J46" s="145">
        <f>H46*I46</f>
        <v>9375000</v>
      </c>
      <c r="L46" s="250" t="s">
        <v>172</v>
      </c>
      <c r="M46" s="251"/>
      <c r="N46" s="252"/>
    </row>
    <row r="47" spans="6:14" ht="12.75" customHeight="1" x14ac:dyDescent="0.3">
      <c r="G47" s="140" t="s">
        <v>313</v>
      </c>
      <c r="H47" s="141">
        <v>1</v>
      </c>
      <c r="I47" s="141">
        <v>500000</v>
      </c>
      <c r="J47" s="145">
        <f>H47*I47</f>
        <v>500000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296250</v>
      </c>
    </row>
    <row r="55" spans="1:17" ht="27.75" customHeight="1" thickBot="1" x14ac:dyDescent="0.35">
      <c r="G55" s="149" t="s">
        <v>175</v>
      </c>
      <c r="H55" s="150"/>
      <c r="I55" s="150"/>
      <c r="J55" s="146">
        <f>SUM(J46:J54)</f>
        <v>10171250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586DAA44-FF06-4213-9266-56B54B621488}">
      <formula1>$A$113:$A$117</formula1>
    </dataValidation>
    <dataValidation type="list" allowBlank="1" showInputMessage="1" showErrorMessage="1" sqref="H25" xr:uid="{D4E3BACB-9DD4-4499-B3E8-0EF52F01E198}">
      <formula1>$A$97:$A$102</formula1>
    </dataValidation>
    <dataValidation type="list" allowBlank="1" showInputMessage="1" showErrorMessage="1" sqref="H21" xr:uid="{8E4B4A13-72AB-4502-8CC3-A30EF54037E7}">
      <formula1>$A$106:$A$110</formula1>
    </dataValidation>
    <dataValidation type="list" allowBlank="1" showInputMessage="1" showErrorMessage="1" sqref="H28" xr:uid="{5CCB69D5-B79E-4C7D-968C-BE7C6E40A9CC}">
      <formula1>$A$128:$A$132</formula1>
    </dataValidation>
    <dataValidation type="list" allowBlank="1" showInputMessage="1" showErrorMessage="1" sqref="H24" xr:uid="{99BD5DFF-6104-4F87-8711-9F1026F1C410}">
      <formula1>$A$137:$A$141</formula1>
    </dataValidation>
    <dataValidation type="list" allowBlank="1" showInputMessage="1" showErrorMessage="1" sqref="H29" xr:uid="{5C441E38-432E-4561-9E77-948C46A6B930}">
      <formula1>$A$120:$A$124</formula1>
    </dataValidation>
    <dataValidation type="list" allowBlank="1" showInputMessage="1" showErrorMessage="1" sqref="H7" xr:uid="{3096CD1B-CBC4-4BA2-AD28-0E7BB009A619}">
      <formula1>$A$69:$A$78</formula1>
    </dataValidation>
    <dataValidation type="list" allowBlank="1" showInputMessage="1" showErrorMessage="1" sqref="H23" xr:uid="{88152F27-8506-46C8-83F5-30B2E7D43AE2}">
      <formula1>$A$88:$A$92</formula1>
    </dataValidation>
    <dataValidation type="list" allowBlank="1" showInputMessage="1" showErrorMessage="1" sqref="H5" xr:uid="{08DD29F7-03C8-411A-A3C6-3B30EAB0AB9F}">
      <formula1>$A$81:$A$85</formula1>
    </dataValidation>
  </dataValidations>
  <hyperlinks>
    <hyperlink ref="C5" r:id="rId1" xr:uid="{4612A7CF-777B-48BC-8035-4BEDF034FB4F}"/>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19D153-C9AA-4774-9DC1-44D64DB97598}">
  <sheetPr codeName="Sheet86"/>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29</v>
      </c>
      <c r="C4" s="151"/>
      <c r="D4" s="38" t="s">
        <v>2</v>
      </c>
      <c r="E4" s="115">
        <f>IF(K30&gt;0,K30,"")</f>
        <v>1.6500000000000001</v>
      </c>
      <c r="G4" s="133" t="s">
        <v>173</v>
      </c>
      <c r="H4" s="124"/>
      <c r="L4" s="139" t="s">
        <v>5</v>
      </c>
      <c r="M4" s="284" t="s">
        <v>466</v>
      </c>
      <c r="N4" s="260"/>
    </row>
    <row r="5" spans="1:14" ht="25" x14ac:dyDescent="0.25">
      <c r="A5" s="37" t="s">
        <v>96</v>
      </c>
      <c r="B5" s="18" t="s">
        <v>319</v>
      </c>
      <c r="C5" s="164" t="s">
        <v>320</v>
      </c>
      <c r="D5" s="38" t="s">
        <v>84</v>
      </c>
      <c r="E5" s="115">
        <f>IF(B9&gt;0,E4/B9,"")</f>
        <v>9.2866188265090771E-2</v>
      </c>
      <c r="G5" s="122" t="s">
        <v>98</v>
      </c>
      <c r="H5" s="123" t="s">
        <v>149</v>
      </c>
    </row>
    <row r="6" spans="1:14" ht="13" thickBot="1" x14ac:dyDescent="0.3">
      <c r="A6" s="38" t="s">
        <v>97</v>
      </c>
      <c r="B6" s="19" t="s">
        <v>321</v>
      </c>
      <c r="C6" s="151"/>
      <c r="D6" s="116" t="s">
        <v>85</v>
      </c>
      <c r="E6" s="117">
        <f>IF(E4="","",IF(E4&gt;=Forside!$H$7,4,IF(E4&gt;=Forside!$H$8,3,IF(E4&gt;=Forside!$H$9,2,IF(E4&gt;0,1,"")))))</f>
        <v>3</v>
      </c>
      <c r="G6" s="38" t="s">
        <v>99</v>
      </c>
      <c r="H6" s="40">
        <v>15</v>
      </c>
    </row>
    <row r="7" spans="1:14" ht="13" thickBot="1" x14ac:dyDescent="0.3">
      <c r="A7" s="38" t="s">
        <v>77</v>
      </c>
      <c r="B7" s="19" t="s">
        <v>192</v>
      </c>
      <c r="C7" s="151"/>
      <c r="D7" s="27"/>
      <c r="E7" s="28"/>
      <c r="G7" s="17" t="s">
        <v>66</v>
      </c>
      <c r="H7" s="42">
        <v>80</v>
      </c>
    </row>
    <row r="8" spans="1:14" ht="13" x14ac:dyDescent="0.3">
      <c r="A8" s="38" t="s">
        <v>91</v>
      </c>
      <c r="B8" s="14">
        <v>3.8</v>
      </c>
      <c r="C8" s="2"/>
      <c r="D8" s="118" t="s">
        <v>87</v>
      </c>
      <c r="E8" s="114"/>
      <c r="G8" s="38" t="s">
        <v>100</v>
      </c>
      <c r="H8" s="14">
        <v>55</v>
      </c>
    </row>
    <row r="9" spans="1:14" ht="13" thickBot="1" x14ac:dyDescent="0.3">
      <c r="A9" s="125" t="s">
        <v>6</v>
      </c>
      <c r="B9" s="20">
        <f>J55/1000000</f>
        <v>17.767499999999998</v>
      </c>
      <c r="C9" s="2"/>
      <c r="D9" s="38" t="s">
        <v>112</v>
      </c>
      <c r="E9" s="119">
        <f>K16</f>
        <v>0.55000000000000004</v>
      </c>
      <c r="G9" s="38" t="s">
        <v>101</v>
      </c>
      <c r="H9" s="14">
        <v>62</v>
      </c>
    </row>
    <row r="10" spans="1:14" x14ac:dyDescent="0.25">
      <c r="C10" s="36"/>
      <c r="D10" s="38" t="s">
        <v>123</v>
      </c>
      <c r="E10" s="120">
        <f>K22</f>
        <v>0.30000000000000004</v>
      </c>
      <c r="G10" s="38" t="s">
        <v>102</v>
      </c>
      <c r="H10" s="14">
        <v>1</v>
      </c>
    </row>
    <row r="11" spans="1:14" ht="24.75" customHeight="1" thickBot="1" x14ac:dyDescent="0.3">
      <c r="C11" s="36"/>
      <c r="D11" s="116" t="s">
        <v>130</v>
      </c>
      <c r="E11" s="121">
        <f>K26</f>
        <v>0.8</v>
      </c>
    </row>
    <row r="12" spans="1:14" ht="13.5" thickBot="1" x14ac:dyDescent="0.3">
      <c r="A12" s="135" t="s">
        <v>17</v>
      </c>
      <c r="B12" s="105"/>
      <c r="C12" s="17"/>
      <c r="D12" s="17"/>
      <c r="E12"/>
    </row>
    <row r="13" spans="1:14" ht="13" x14ac:dyDescent="0.25">
      <c r="A13" s="261" t="s">
        <v>322</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0.55000000000000004</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323</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62</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152</v>
      </c>
      <c r="I21" s="85">
        <f>Forside!E9</f>
        <v>0.05</v>
      </c>
      <c r="J21" s="64">
        <f>IF(H21=A106,B106,IF(H21=A107,B107,(IF(H21=A108,B108,(IF(H21=A109,B109,(IF(H21=A110,B110,""))))))))</f>
        <v>4</v>
      </c>
      <c r="K21" s="65">
        <f t="shared" si="0"/>
        <v>0.2</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10</v>
      </c>
      <c r="D26" s="156">
        <v>0</v>
      </c>
      <c r="E26" s="39"/>
      <c r="G26" s="57" t="s">
        <v>130</v>
      </c>
      <c r="H26" s="58"/>
      <c r="I26" s="59">
        <f>Forside!E14</f>
        <v>0.5</v>
      </c>
      <c r="J26" s="58"/>
      <c r="K26" s="60">
        <f>IF(J27="","",SUM(K27:K29))</f>
        <v>0.8</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155</v>
      </c>
      <c r="I29" s="85">
        <f>Forside!E17</f>
        <v>0.2</v>
      </c>
      <c r="J29" s="129">
        <f>IF(H29=A120,B120,IF(H29=A121,B121,(IF(H29=A122,B122,(IF(H29=A123,B123,(IF(H29=A124,B124,""))))))))</f>
        <v>2</v>
      </c>
      <c r="K29" s="131">
        <f t="shared" si="0"/>
        <v>0.4</v>
      </c>
    </row>
    <row r="30" spans="1:11" ht="14.5" thickBot="1" x14ac:dyDescent="0.35">
      <c r="G30" s="57" t="s">
        <v>3</v>
      </c>
      <c r="H30" s="82"/>
      <c r="I30" s="83"/>
      <c r="J30" s="84"/>
      <c r="K30" s="132">
        <f>IF(Forside!E18="100%",IF(ISNUMBER(K16*K22*K26),K16+K22+K26,""),"Forkert vægtning")</f>
        <v>1.6500000000000001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447</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3800</v>
      </c>
      <c r="I46" s="141">
        <f>Enhedspriser!C3</f>
        <v>3750</v>
      </c>
      <c r="J46" s="145">
        <f>H46*I46</f>
        <v>14250000</v>
      </c>
      <c r="L46" s="250" t="s">
        <v>172</v>
      </c>
      <c r="M46" s="251"/>
      <c r="N46" s="252"/>
    </row>
    <row r="47" spans="6:14" ht="12.75" customHeight="1" x14ac:dyDescent="0.3">
      <c r="G47" s="140" t="s">
        <v>324</v>
      </c>
      <c r="H47" s="141">
        <v>200</v>
      </c>
      <c r="I47" s="141">
        <v>15000</v>
      </c>
      <c r="J47" s="145">
        <f>H47*I47</f>
        <v>3000000</v>
      </c>
      <c r="K47" s="5" t="s">
        <v>224</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517500</v>
      </c>
    </row>
    <row r="55" spans="1:17" ht="27.75" customHeight="1" thickBot="1" x14ac:dyDescent="0.35">
      <c r="G55" s="149" t="s">
        <v>175</v>
      </c>
      <c r="H55" s="150"/>
      <c r="I55" s="150"/>
      <c r="J55" s="146">
        <f>SUM(J46:J54)</f>
        <v>17767500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5D5AE52F-9043-4973-96FC-DD8FFCB1FCE2}">
      <formula1>$A$113:$A$117</formula1>
    </dataValidation>
    <dataValidation type="list" allowBlank="1" showInputMessage="1" showErrorMessage="1" sqref="H25" xr:uid="{38EBC9E0-A6ED-4251-851B-533D0995804F}">
      <formula1>$A$97:$A$102</formula1>
    </dataValidation>
    <dataValidation type="list" allowBlank="1" showInputMessage="1" showErrorMessage="1" sqref="H21" xr:uid="{CE07F67F-6EA0-4D0F-8E5D-858790C23686}">
      <formula1>$A$106:$A$110</formula1>
    </dataValidation>
    <dataValidation type="list" allowBlank="1" showInputMessage="1" showErrorMessage="1" sqref="H28" xr:uid="{B18E6DBA-C8E6-49F5-8067-4205842647AA}">
      <formula1>$A$128:$A$132</formula1>
    </dataValidation>
    <dataValidation type="list" allowBlank="1" showInputMessage="1" showErrorMessage="1" sqref="H24" xr:uid="{1FD3B9CE-50B3-4B75-90A8-3D344EAA7A36}">
      <formula1>$A$137:$A$141</formula1>
    </dataValidation>
    <dataValidation type="list" allowBlank="1" showInputMessage="1" showErrorMessage="1" sqref="H29" xr:uid="{066F3766-8F07-4F25-A363-0A540F2B33A3}">
      <formula1>$A$120:$A$124</formula1>
    </dataValidation>
    <dataValidation type="list" allowBlank="1" showInputMessage="1" showErrorMessage="1" sqref="H7" xr:uid="{F2779DDD-768A-4554-8CA3-84CA9AC06793}">
      <formula1>$A$69:$A$78</formula1>
    </dataValidation>
    <dataValidation type="list" allowBlank="1" showInputMessage="1" showErrorMessage="1" sqref="H23" xr:uid="{89AD0EE7-C545-4908-9740-FC8F48F0A8D0}">
      <formula1>$A$88:$A$92</formula1>
    </dataValidation>
    <dataValidation type="list" allowBlank="1" showInputMessage="1" showErrorMessage="1" sqref="H5" xr:uid="{F3EDE7AB-C0D8-457D-8DAB-58C60D25E145}">
      <formula1>$A$81:$A$85</formula1>
    </dataValidation>
  </dataValidations>
  <hyperlinks>
    <hyperlink ref="C5" r:id="rId1" xr:uid="{3E838D12-8BD6-4F50-AA22-20ACF3E4C432}"/>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24DB4-FFD9-47E0-AA7B-129D601C262E}">
  <sheetPr codeName="Sheet87"/>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30</v>
      </c>
      <c r="C4" s="151"/>
      <c r="D4" s="38" t="s">
        <v>2</v>
      </c>
      <c r="E4" s="115">
        <f>IF(K30&gt;0,K30,"")</f>
        <v>1.1500000000000001</v>
      </c>
      <c r="G4" s="133" t="s">
        <v>173</v>
      </c>
      <c r="H4" s="124"/>
      <c r="L4" s="139" t="s">
        <v>5</v>
      </c>
      <c r="M4" s="284" t="s">
        <v>466</v>
      </c>
      <c r="N4" s="260"/>
    </row>
    <row r="5" spans="1:14" ht="25" x14ac:dyDescent="0.25">
      <c r="A5" s="37" t="s">
        <v>96</v>
      </c>
      <c r="B5" s="18" t="s">
        <v>325</v>
      </c>
      <c r="C5" s="164" t="s">
        <v>326</v>
      </c>
      <c r="D5" s="38" t="s">
        <v>84</v>
      </c>
      <c r="E5" s="115">
        <f>IF(B9&gt;0,E4/B9,"")</f>
        <v>0.17243318214192002</v>
      </c>
      <c r="G5" s="122" t="s">
        <v>98</v>
      </c>
      <c r="H5" s="123" t="s">
        <v>149</v>
      </c>
      <c r="I5" s="1" t="s">
        <v>328</v>
      </c>
    </row>
    <row r="6" spans="1:14" ht="13" thickBot="1" x14ac:dyDescent="0.3">
      <c r="A6" s="38" t="s">
        <v>97</v>
      </c>
      <c r="B6" s="19" t="s">
        <v>327</v>
      </c>
      <c r="C6" s="151"/>
      <c r="D6" s="116" t="s">
        <v>85</v>
      </c>
      <c r="E6" s="117">
        <f>IF(E4="","",IF(E4&gt;=Forside!$H$7,4,IF(E4&gt;=Forside!$H$8,3,IF(E4&gt;=Forside!$H$9,2,IF(E4&gt;0,1,"")))))</f>
        <v>2</v>
      </c>
      <c r="G6" s="38" t="s">
        <v>99</v>
      </c>
      <c r="H6" s="40">
        <v>15</v>
      </c>
      <c r="I6" s="1" t="s">
        <v>182</v>
      </c>
    </row>
    <row r="7" spans="1:14" ht="13" thickBot="1" x14ac:dyDescent="0.3">
      <c r="A7" s="38" t="s">
        <v>77</v>
      </c>
      <c r="B7" s="19" t="s">
        <v>192</v>
      </c>
      <c r="C7" s="151"/>
      <c r="D7" s="27"/>
      <c r="E7" s="28"/>
      <c r="G7" s="17" t="s">
        <v>66</v>
      </c>
      <c r="H7" s="42">
        <v>80</v>
      </c>
    </row>
    <row r="8" spans="1:14" ht="13" x14ac:dyDescent="0.3">
      <c r="A8" s="38" t="s">
        <v>91</v>
      </c>
      <c r="B8" s="14">
        <v>1.7</v>
      </c>
      <c r="C8" s="2"/>
      <c r="D8" s="118" t="s">
        <v>87</v>
      </c>
      <c r="E8" s="114"/>
      <c r="G8" s="38" t="s">
        <v>100</v>
      </c>
      <c r="H8" s="14">
        <v>70</v>
      </c>
      <c r="I8" s="1" t="s">
        <v>182</v>
      </c>
    </row>
    <row r="9" spans="1:14" ht="13" thickBot="1" x14ac:dyDescent="0.3">
      <c r="A9" s="125" t="s">
        <v>6</v>
      </c>
      <c r="B9" s="20">
        <f>J55/1000000</f>
        <v>6.6692499999999999</v>
      </c>
      <c r="C9" s="2"/>
      <c r="D9" s="38" t="s">
        <v>112</v>
      </c>
      <c r="E9" s="119">
        <f>K16</f>
        <v>0.45000000000000007</v>
      </c>
      <c r="G9" s="38" t="s">
        <v>101</v>
      </c>
      <c r="H9" s="14">
        <v>80</v>
      </c>
      <c r="I9" s="1" t="s">
        <v>182</v>
      </c>
    </row>
    <row r="10" spans="1:14" x14ac:dyDescent="0.25">
      <c r="C10" s="36"/>
      <c r="D10" s="38" t="s">
        <v>123</v>
      </c>
      <c r="E10" s="120">
        <f>K22</f>
        <v>0.30000000000000004</v>
      </c>
      <c r="G10" s="38" t="s">
        <v>102</v>
      </c>
      <c r="H10" s="14">
        <v>0</v>
      </c>
    </row>
    <row r="11" spans="1:14" ht="24.75" customHeight="1" thickBot="1" x14ac:dyDescent="0.3">
      <c r="C11" s="36"/>
      <c r="D11" s="116" t="s">
        <v>130</v>
      </c>
      <c r="E11" s="121">
        <f>K26</f>
        <v>0.4</v>
      </c>
    </row>
    <row r="12" spans="1:14" ht="13.5" thickBot="1" x14ac:dyDescent="0.3">
      <c r="A12" s="135" t="s">
        <v>17</v>
      </c>
      <c r="B12" s="105"/>
      <c r="C12" s="17"/>
      <c r="D12" s="17"/>
      <c r="E12"/>
    </row>
    <row r="13" spans="1:14" ht="13" x14ac:dyDescent="0.25">
      <c r="A13" s="261" t="s">
        <v>329</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0.45000000000000007</v>
      </c>
    </row>
    <row r="17" spans="1:12"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2"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2" ht="15.75" customHeight="1" thickBot="1" x14ac:dyDescent="0.3">
      <c r="A19" s="267" t="s">
        <v>330</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2" ht="15.75" customHeight="1" thickBot="1" x14ac:dyDescent="0.3">
      <c r="A20" s="269"/>
      <c r="B20" s="270"/>
      <c r="C20" s="112"/>
      <c r="D20" s="112"/>
      <c r="E20" s="39"/>
      <c r="G20" s="41" t="s">
        <v>89</v>
      </c>
      <c r="H20" s="104">
        <f>IF(H9="","",H9)</f>
        <v>80</v>
      </c>
      <c r="I20" s="85">
        <f>Forside!E8</f>
        <v>0.05</v>
      </c>
      <c r="J20" s="66">
        <f>IF(H20="","",IF(H19="","",IF(H20&lt;=H19,0,IF(H20&lt;H19*1.05,1,IF(H20&lt;H19*1.1,2,IF(H20&lt;H19*1.15,3,IF(H20&gt;=H19*1.15,4,"")))))))</f>
        <v>0</v>
      </c>
      <c r="K20" s="65">
        <f t="shared" si="0"/>
        <v>0</v>
      </c>
    </row>
    <row r="21" spans="1:12"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2" ht="16.5" thickBot="1" x14ac:dyDescent="0.35">
      <c r="A22" s="269"/>
      <c r="B22" s="270"/>
      <c r="C22" s="112"/>
      <c r="D22" s="112"/>
      <c r="E22" s="39"/>
      <c r="G22" s="57" t="s">
        <v>123</v>
      </c>
      <c r="H22" s="68"/>
      <c r="I22" s="59">
        <f>Forside!E10</f>
        <v>0.25</v>
      </c>
      <c r="J22" s="68"/>
      <c r="K22" s="69">
        <f>IF(J23="","",SUM(K23:K25))</f>
        <v>0.30000000000000004</v>
      </c>
    </row>
    <row r="23" spans="1:12"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2"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2"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2" ht="16.5" thickBot="1" x14ac:dyDescent="0.35">
      <c r="A26" s="154" t="s">
        <v>184</v>
      </c>
      <c r="B26" s="155" t="s">
        <v>184</v>
      </c>
      <c r="C26" s="155">
        <v>4</v>
      </c>
      <c r="D26" s="156">
        <v>0</v>
      </c>
      <c r="E26" s="39"/>
      <c r="G26" s="57" t="s">
        <v>130</v>
      </c>
      <c r="H26" s="58"/>
      <c r="I26" s="59">
        <f>Forside!E14</f>
        <v>0.5</v>
      </c>
      <c r="J26" s="58"/>
      <c r="K26" s="60">
        <f>IF(J27="","",SUM(K27:K29))</f>
        <v>0.4</v>
      </c>
    </row>
    <row r="27" spans="1:12" ht="16.5" thickBot="1" x14ac:dyDescent="0.35">
      <c r="E27" s="39"/>
      <c r="G27" s="79" t="s">
        <v>141</v>
      </c>
      <c r="H27" s="80" t="s">
        <v>108</v>
      </c>
      <c r="I27" s="85">
        <f>Forside!E15</f>
        <v>0.25</v>
      </c>
      <c r="J27" s="127">
        <f>IF(H27=A113,B113,IF(H27=A114,B114,(IF(H27=A115,B115,(IF(H27=A116,B116,(IF(H27=A117,B117,""))))))))</f>
        <v>1</v>
      </c>
      <c r="K27" s="130">
        <f t="shared" si="0"/>
        <v>0.25</v>
      </c>
    </row>
    <row r="28" spans="1:12" ht="14.5" thickBot="1" x14ac:dyDescent="0.3">
      <c r="G28" s="41" t="s">
        <v>62</v>
      </c>
      <c r="H28" s="74" t="s">
        <v>64</v>
      </c>
      <c r="I28" s="85">
        <f>Forside!E16</f>
        <v>0.05</v>
      </c>
      <c r="J28" s="128">
        <f>IF(H28=A128,B128,IF(H28=A129,B129,(IF(H28=A130,B130,(IF(H28=A131,B131,(IF(H28=A132,B132,""))))))))</f>
        <v>3</v>
      </c>
      <c r="K28" s="131">
        <f t="shared" si="0"/>
        <v>0.15000000000000002</v>
      </c>
    </row>
    <row r="29" spans="1:12" ht="14.5" thickBot="1" x14ac:dyDescent="0.3">
      <c r="G29" s="41" t="s">
        <v>136</v>
      </c>
      <c r="H29" s="81" t="s">
        <v>153</v>
      </c>
      <c r="I29" s="85">
        <f>Forside!E17</f>
        <v>0.2</v>
      </c>
      <c r="J29" s="129">
        <f>IF(H29=A120,B120,IF(H29=A121,B121,(IF(H29=A122,B122,(IF(H29=A123,B123,(IF(H29=A124,B124,""))))))))</f>
        <v>0</v>
      </c>
      <c r="K29" s="131">
        <f t="shared" si="0"/>
        <v>0</v>
      </c>
      <c r="L29" s="5" t="s">
        <v>448</v>
      </c>
    </row>
    <row r="30" spans="1:12" ht="14.5" thickBot="1" x14ac:dyDescent="0.35">
      <c r="G30" s="57" t="s">
        <v>3</v>
      </c>
      <c r="H30" s="82"/>
      <c r="I30" s="83"/>
      <c r="J30" s="84"/>
      <c r="K30" s="132">
        <f>IF(Forside!E18="100%",IF(ISNUMBER(K16*K22*K26),K16+K22+K26,""),"Forkert vægtning")</f>
        <v>1.1500000000000001</v>
      </c>
    </row>
    <row r="32" spans="1:12"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442</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1700</v>
      </c>
      <c r="I46" s="141">
        <f>Enhedspriser!C3</f>
        <v>3750</v>
      </c>
      <c r="J46" s="145">
        <f>H46*I46</f>
        <v>6375000</v>
      </c>
      <c r="L46" s="250" t="s">
        <v>172</v>
      </c>
      <c r="M46" s="251"/>
      <c r="N46" s="252"/>
    </row>
    <row r="47" spans="6:14" ht="12.75" customHeight="1" x14ac:dyDescent="0.3">
      <c r="G47" s="140" t="s">
        <v>167</v>
      </c>
      <c r="H47" s="141">
        <v>2</v>
      </c>
      <c r="I47" s="141">
        <f>Enhedspriser!C6</f>
        <v>50000</v>
      </c>
      <c r="J47" s="145">
        <f>H47*I47</f>
        <v>100000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194250</v>
      </c>
    </row>
    <row r="55" spans="1:17" ht="27.75" customHeight="1" thickBot="1" x14ac:dyDescent="0.35">
      <c r="G55" s="149" t="s">
        <v>175</v>
      </c>
      <c r="H55" s="150"/>
      <c r="I55" s="150"/>
      <c r="J55" s="146">
        <f>SUM(J46:J54)</f>
        <v>6669250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C49B1C7C-6335-4F30-A61D-BE281A996101}">
      <formula1>$A$113:$A$117</formula1>
    </dataValidation>
    <dataValidation type="list" allowBlank="1" showInputMessage="1" showErrorMessage="1" sqref="H25" xr:uid="{87E7AB2B-26EF-408F-AF2C-5F3B3E332388}">
      <formula1>$A$97:$A$102</formula1>
    </dataValidation>
    <dataValidation type="list" allowBlank="1" showInputMessage="1" showErrorMessage="1" sqref="H21" xr:uid="{D8492DDB-76D6-4173-AA09-DEC1A29C7F4D}">
      <formula1>$A$106:$A$110</formula1>
    </dataValidation>
    <dataValidation type="list" allowBlank="1" showInputMessage="1" showErrorMessage="1" sqref="H28" xr:uid="{AB6E0D40-EC38-4843-8FF6-E52CC83E166D}">
      <formula1>$A$128:$A$132</formula1>
    </dataValidation>
    <dataValidation type="list" allowBlank="1" showInputMessage="1" showErrorMessage="1" sqref="H24" xr:uid="{51090694-953F-4344-BBF6-82F5C3E5B286}">
      <formula1>$A$137:$A$141</formula1>
    </dataValidation>
    <dataValidation type="list" allowBlank="1" showInputMessage="1" showErrorMessage="1" sqref="H29" xr:uid="{D1D2AB3F-093E-4B02-9BFD-B6A471B355E4}">
      <formula1>$A$120:$A$124</formula1>
    </dataValidation>
    <dataValidation type="list" allowBlank="1" showInputMessage="1" showErrorMessage="1" sqref="H7" xr:uid="{62D44C63-09B7-4779-AA54-7710E9AD5E53}">
      <formula1>$A$69:$A$78</formula1>
    </dataValidation>
    <dataValidation type="list" allowBlank="1" showInputMessage="1" showErrorMessage="1" sqref="H23" xr:uid="{A44A408D-0AA0-410D-A6FA-825DE9B0CB79}">
      <formula1>$A$88:$A$92</formula1>
    </dataValidation>
    <dataValidation type="list" allowBlank="1" showInputMessage="1" showErrorMessage="1" sqref="H5" xr:uid="{5EE1416E-A05D-4F70-B271-E46BBD43F0E4}">
      <formula1>$A$81:$A$85</formula1>
    </dataValidation>
  </dataValidations>
  <hyperlinks>
    <hyperlink ref="C5" r:id="rId1" xr:uid="{24ADD95B-775E-40E5-8A10-7F490F0D3318}"/>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8167F-CC44-48D5-8AD1-F07FDE475B52}">
  <sheetPr codeName="Sheet88"/>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31</v>
      </c>
      <c r="C4" s="151"/>
      <c r="D4" s="38" t="s">
        <v>2</v>
      </c>
      <c r="E4" s="115">
        <f>IF(K30&gt;0,K30,"")</f>
        <v>1.8</v>
      </c>
      <c r="G4" s="133" t="s">
        <v>173</v>
      </c>
      <c r="H4" s="124"/>
      <c r="L4" s="139" t="s">
        <v>5</v>
      </c>
      <c r="M4" s="284" t="s">
        <v>466</v>
      </c>
      <c r="N4" s="260"/>
    </row>
    <row r="5" spans="1:14" ht="25" x14ac:dyDescent="0.25">
      <c r="A5" s="37" t="s">
        <v>96</v>
      </c>
      <c r="B5" s="162" t="s">
        <v>464</v>
      </c>
      <c r="C5" s="164" t="s">
        <v>331</v>
      </c>
      <c r="D5" s="38" t="s">
        <v>84</v>
      </c>
      <c r="E5" s="115">
        <f>IF(B9&gt;0,E4/B9,"")</f>
        <v>0.29126213592233013</v>
      </c>
      <c r="G5" s="122" t="s">
        <v>98</v>
      </c>
      <c r="H5" s="123" t="s">
        <v>149</v>
      </c>
    </row>
    <row r="6" spans="1:14" ht="13" thickBot="1" x14ac:dyDescent="0.3">
      <c r="A6" s="38" t="s">
        <v>97</v>
      </c>
      <c r="B6" s="19" t="s">
        <v>327</v>
      </c>
      <c r="C6" s="151"/>
      <c r="D6" s="116" t="s">
        <v>85</v>
      </c>
      <c r="E6" s="117">
        <f>IF(E4="","",IF(E4&gt;=Forside!$H$7,4,IF(E4&gt;=Forside!$H$8,3,IF(E4&gt;=Forside!$H$9,2,IF(E4&gt;0,1,"")))))</f>
        <v>4</v>
      </c>
      <c r="G6" s="38" t="s">
        <v>99</v>
      </c>
      <c r="H6" s="40">
        <v>20</v>
      </c>
      <c r="I6" s="1" t="s">
        <v>182</v>
      </c>
    </row>
    <row r="7" spans="1:14" ht="13" thickBot="1" x14ac:dyDescent="0.3">
      <c r="A7" s="38" t="s">
        <v>77</v>
      </c>
      <c r="B7" s="19" t="s">
        <v>192</v>
      </c>
      <c r="C7" s="151"/>
      <c r="D7" s="27"/>
      <c r="E7" s="28"/>
      <c r="G7" s="17" t="s">
        <v>66</v>
      </c>
      <c r="H7" s="42">
        <v>80</v>
      </c>
    </row>
    <row r="8" spans="1:14" ht="13" x14ac:dyDescent="0.3">
      <c r="A8" s="38" t="s">
        <v>91</v>
      </c>
      <c r="B8" s="14">
        <v>1.6</v>
      </c>
      <c r="C8" s="2"/>
      <c r="D8" s="118" t="s">
        <v>87</v>
      </c>
      <c r="E8" s="114"/>
      <c r="G8" s="38" t="s">
        <v>100</v>
      </c>
      <c r="H8" s="14">
        <v>65</v>
      </c>
      <c r="I8" s="1" t="s">
        <v>182</v>
      </c>
    </row>
    <row r="9" spans="1:14" ht="13" thickBot="1" x14ac:dyDescent="0.3">
      <c r="A9" s="125" t="s">
        <v>6</v>
      </c>
      <c r="B9" s="20">
        <f>J55/1000000</f>
        <v>6.18</v>
      </c>
      <c r="C9" s="2"/>
      <c r="D9" s="38" t="s">
        <v>112</v>
      </c>
      <c r="E9" s="119">
        <f>K16</f>
        <v>0.5</v>
      </c>
      <c r="G9" s="38" t="s">
        <v>101</v>
      </c>
      <c r="H9" s="14">
        <v>75</v>
      </c>
      <c r="I9" s="1" t="s">
        <v>182</v>
      </c>
    </row>
    <row r="10" spans="1:14" x14ac:dyDescent="0.25">
      <c r="C10" s="36"/>
      <c r="D10" s="38" t="s">
        <v>123</v>
      </c>
      <c r="E10" s="120">
        <f>K22</f>
        <v>0.30000000000000004</v>
      </c>
      <c r="G10" s="38" t="s">
        <v>102</v>
      </c>
      <c r="H10" s="14">
        <v>1</v>
      </c>
    </row>
    <row r="11" spans="1:14" ht="24.75" customHeight="1" thickBot="1" x14ac:dyDescent="0.3">
      <c r="C11" s="36"/>
      <c r="D11" s="116" t="s">
        <v>130</v>
      </c>
      <c r="E11" s="121">
        <f>K26</f>
        <v>1</v>
      </c>
    </row>
    <row r="12" spans="1:14" ht="13.5" thickBot="1" x14ac:dyDescent="0.3">
      <c r="A12" s="135" t="s">
        <v>17</v>
      </c>
      <c r="B12" s="105"/>
      <c r="C12" s="17"/>
      <c r="D12" s="17"/>
      <c r="E12"/>
    </row>
    <row r="13" spans="1:14" ht="13" x14ac:dyDescent="0.25">
      <c r="A13" s="261" t="s">
        <v>332</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465</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75</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t="s">
        <v>184</v>
      </c>
      <c r="D26" s="156">
        <v>0</v>
      </c>
      <c r="E26" s="39"/>
      <c r="G26" s="57" t="s">
        <v>130</v>
      </c>
      <c r="H26" s="58"/>
      <c r="I26" s="59">
        <f>Forside!E14</f>
        <v>0.5</v>
      </c>
      <c r="J26" s="58"/>
      <c r="K26" s="60">
        <f>IF(J27="","",SUM(K27:K29))</f>
        <v>1</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1.8</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441</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1600</v>
      </c>
      <c r="I46" s="141">
        <f>Enhedspriser!C3</f>
        <v>3750</v>
      </c>
      <c r="J46" s="145">
        <f>H46*I46</f>
        <v>6000000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180000</v>
      </c>
    </row>
    <row r="55" spans="1:17" ht="27.75" customHeight="1" thickBot="1" x14ac:dyDescent="0.35">
      <c r="G55" s="149" t="s">
        <v>175</v>
      </c>
      <c r="H55" s="150"/>
      <c r="I55" s="150"/>
      <c r="J55" s="146">
        <f>SUM(J46:J54)</f>
        <v>6180000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9FB1F484-1AA4-4A33-9559-5D4173AC973D}">
      <formula1>$A$113:$A$117</formula1>
    </dataValidation>
    <dataValidation type="list" allowBlank="1" showInputMessage="1" showErrorMessage="1" sqref="H25" xr:uid="{CC63486A-4FBC-4D0E-8BDB-3C9C3DA6D966}">
      <formula1>$A$97:$A$102</formula1>
    </dataValidation>
    <dataValidation type="list" allowBlank="1" showInputMessage="1" showErrorMessage="1" sqref="H21" xr:uid="{E7B053D7-773D-4CEF-82AB-D5AA2B0064C1}">
      <formula1>$A$106:$A$110</formula1>
    </dataValidation>
    <dataValidation type="list" allowBlank="1" showInputMessage="1" showErrorMessage="1" sqref="H28" xr:uid="{F610F83A-7CC5-49D6-AC54-ECE442547DFE}">
      <formula1>$A$128:$A$132</formula1>
    </dataValidation>
    <dataValidation type="list" allowBlank="1" showInputMessage="1" showErrorMessage="1" sqref="H24" xr:uid="{A95E289E-DFC6-4287-965D-4F6832118154}">
      <formula1>$A$137:$A$141</formula1>
    </dataValidation>
    <dataValidation type="list" allowBlank="1" showInputMessage="1" showErrorMessage="1" sqref="H29" xr:uid="{47CC0FAD-1258-46FD-BC56-189E415FD706}">
      <formula1>$A$120:$A$124</formula1>
    </dataValidation>
    <dataValidation type="list" allowBlank="1" showInputMessage="1" showErrorMessage="1" sqref="H7" xr:uid="{5607434F-DF4E-4A00-B94B-CD0C8215E062}">
      <formula1>$A$69:$A$78</formula1>
    </dataValidation>
    <dataValidation type="list" allowBlank="1" showInputMessage="1" showErrorMessage="1" sqref="H23" xr:uid="{9F8F7456-F49D-4F6B-A15A-11FCD6A9D2A6}">
      <formula1>$A$88:$A$92</formula1>
    </dataValidation>
    <dataValidation type="list" allowBlank="1" showInputMessage="1" showErrorMessage="1" sqref="H5" xr:uid="{AB8E6E44-BC3D-453D-93A7-413661DD196A}">
      <formula1>$A$81:$A$85</formula1>
    </dataValidation>
  </dataValidations>
  <hyperlinks>
    <hyperlink ref="C5" r:id="rId1" xr:uid="{F485979E-68EE-4D98-8AAC-2AE673244595}"/>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C2FF37-DF4F-49CC-A185-6A7AE3986348}">
  <sheetPr codeName="Sheet89"/>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32</v>
      </c>
      <c r="C4" s="151"/>
      <c r="D4" s="38" t="s">
        <v>2</v>
      </c>
      <c r="E4" s="115">
        <f>IF(K30&gt;0,K30,"")</f>
        <v>0.70000000000000007</v>
      </c>
      <c r="G4" s="133" t="s">
        <v>173</v>
      </c>
      <c r="H4" s="124"/>
      <c r="L4" s="139" t="s">
        <v>5</v>
      </c>
      <c r="M4" s="284" t="s">
        <v>466</v>
      </c>
      <c r="N4" s="260"/>
    </row>
    <row r="5" spans="1:14" ht="25" x14ac:dyDescent="0.25">
      <c r="A5" s="37" t="s">
        <v>96</v>
      </c>
      <c r="B5" s="18" t="s">
        <v>333</v>
      </c>
      <c r="C5" s="164" t="s">
        <v>334</v>
      </c>
      <c r="D5" s="38" t="s">
        <v>84</v>
      </c>
      <c r="E5" s="115">
        <f>IF(B9&gt;0,E4/B9,"")</f>
        <v>0.10068320747932399</v>
      </c>
      <c r="G5" s="122" t="s">
        <v>98</v>
      </c>
      <c r="H5" s="123" t="s">
        <v>148</v>
      </c>
      <c r="I5" s="1" t="s">
        <v>336</v>
      </c>
    </row>
    <row r="6" spans="1:14" ht="13" thickBot="1" x14ac:dyDescent="0.3">
      <c r="A6" s="38" t="s">
        <v>97</v>
      </c>
      <c r="B6" s="19" t="s">
        <v>335</v>
      </c>
      <c r="C6" s="151"/>
      <c r="D6" s="116" t="s">
        <v>85</v>
      </c>
      <c r="E6" s="117">
        <f>IF(E4="","",IF(E4&gt;=Forside!$H$7,4,IF(E4&gt;=Forside!$H$8,3,IF(E4&gt;=Forside!$H$9,2,IF(E4&gt;0,1,"")))))</f>
        <v>1</v>
      </c>
      <c r="G6" s="38" t="s">
        <v>99</v>
      </c>
      <c r="H6" s="40">
        <v>10</v>
      </c>
    </row>
    <row r="7" spans="1:14" ht="13" thickBot="1" x14ac:dyDescent="0.3">
      <c r="A7" s="38" t="s">
        <v>77</v>
      </c>
      <c r="B7" s="19" t="s">
        <v>192</v>
      </c>
      <c r="C7" s="151"/>
      <c r="D7" s="27"/>
      <c r="E7" s="28"/>
      <c r="G7" s="17" t="s">
        <v>66</v>
      </c>
      <c r="H7" s="42">
        <v>80</v>
      </c>
    </row>
    <row r="8" spans="1:14" ht="13" x14ac:dyDescent="0.3">
      <c r="A8" s="38" t="s">
        <v>91</v>
      </c>
      <c r="B8" s="14">
        <v>1.8</v>
      </c>
      <c r="C8" s="2"/>
      <c r="D8" s="118" t="s">
        <v>87</v>
      </c>
      <c r="E8" s="114"/>
      <c r="G8" s="38" t="s">
        <v>100</v>
      </c>
      <c r="H8" s="14">
        <v>49</v>
      </c>
    </row>
    <row r="9" spans="1:14" ht="13" thickBot="1" x14ac:dyDescent="0.3">
      <c r="A9" s="125" t="s">
        <v>6</v>
      </c>
      <c r="B9" s="20">
        <f>J55/1000000</f>
        <v>6.9524999999999997</v>
      </c>
      <c r="C9" s="2"/>
      <c r="D9" s="38" t="s">
        <v>112</v>
      </c>
      <c r="E9" s="119">
        <f>K16</f>
        <v>0.35</v>
      </c>
      <c r="G9" s="38" t="s">
        <v>101</v>
      </c>
      <c r="H9" s="14">
        <v>59</v>
      </c>
    </row>
    <row r="10" spans="1:14" x14ac:dyDescent="0.25">
      <c r="C10" s="36"/>
      <c r="D10" s="38" t="s">
        <v>123</v>
      </c>
      <c r="E10" s="120">
        <f>K22</f>
        <v>0.2</v>
      </c>
      <c r="G10" s="38" t="s">
        <v>102</v>
      </c>
      <c r="H10" s="14">
        <v>0</v>
      </c>
    </row>
    <row r="11" spans="1:14" ht="24.75" customHeight="1" thickBot="1" x14ac:dyDescent="0.3">
      <c r="C11" s="36"/>
      <c r="D11" s="116" t="s">
        <v>130</v>
      </c>
      <c r="E11" s="121">
        <f>K26</f>
        <v>0.15000000000000002</v>
      </c>
    </row>
    <row r="12" spans="1:14" ht="13.5" thickBot="1" x14ac:dyDescent="0.3">
      <c r="A12" s="135" t="s">
        <v>17</v>
      </c>
      <c r="B12" s="105"/>
      <c r="C12" s="17"/>
      <c r="D12" s="17"/>
      <c r="E12"/>
    </row>
    <row r="13" spans="1:14" ht="13" x14ac:dyDescent="0.25">
      <c r="A13" s="261" t="s">
        <v>337</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0.35</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338</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59</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4</v>
      </c>
      <c r="D26" s="156">
        <v>0</v>
      </c>
      <c r="E26" s="39"/>
      <c r="G26" s="57" t="s">
        <v>130</v>
      </c>
      <c r="H26" s="58"/>
      <c r="I26" s="59">
        <f>Forside!E14</f>
        <v>0.5</v>
      </c>
      <c r="J26" s="58"/>
      <c r="K26" s="60">
        <f>IF(J27="","",SUM(K27:K29))</f>
        <v>0.15000000000000002</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0.70000000000000007</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449</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1800</v>
      </c>
      <c r="I46" s="141">
        <f>Enhedspriser!C3</f>
        <v>3750</v>
      </c>
      <c r="J46" s="145">
        <f>H46*I46</f>
        <v>6750000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202500</v>
      </c>
    </row>
    <row r="55" spans="1:17" ht="27.75" customHeight="1" thickBot="1" x14ac:dyDescent="0.35">
      <c r="G55" s="149" t="s">
        <v>175</v>
      </c>
      <c r="H55" s="150"/>
      <c r="I55" s="150"/>
      <c r="J55" s="146">
        <f>SUM(J46:J54)</f>
        <v>6952500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1D7277A7-3E12-4FC3-B26F-4396CE7A4481}">
      <formula1>$A$113:$A$117</formula1>
    </dataValidation>
    <dataValidation type="list" allowBlank="1" showInputMessage="1" showErrorMessage="1" sqref="H25" xr:uid="{09B5FF5D-6329-4A44-952E-17A6E3679516}">
      <formula1>$A$97:$A$102</formula1>
    </dataValidation>
    <dataValidation type="list" allowBlank="1" showInputMessage="1" showErrorMessage="1" sqref="H21" xr:uid="{189CF340-3F3F-4F16-AFC2-0572EDC6522C}">
      <formula1>$A$106:$A$110</formula1>
    </dataValidation>
    <dataValidation type="list" allowBlank="1" showInputMessage="1" showErrorMessage="1" sqref="H28" xr:uid="{30AD1EED-E015-4A75-8EA1-6DCC89E45966}">
      <formula1>$A$128:$A$132</formula1>
    </dataValidation>
    <dataValidation type="list" allowBlank="1" showInputMessage="1" showErrorMessage="1" sqref="H24" xr:uid="{A35DC342-3A02-4FFF-B1D9-4D2A969B5C1F}">
      <formula1>$A$137:$A$141</formula1>
    </dataValidation>
    <dataValidation type="list" allowBlank="1" showInputMessage="1" showErrorMessage="1" sqref="H29" xr:uid="{248F98C5-1255-4493-BB81-7F83A1BB472A}">
      <formula1>$A$120:$A$124</formula1>
    </dataValidation>
    <dataValidation type="list" allowBlank="1" showInputMessage="1" showErrorMessage="1" sqref="H7" xr:uid="{A0C7C5C5-2EE5-4919-994A-89CC38043A2B}">
      <formula1>$A$69:$A$78</formula1>
    </dataValidation>
    <dataValidation type="list" allowBlank="1" showInputMessage="1" showErrorMessage="1" sqref="H23" xr:uid="{A4B65EDE-F6CB-4358-AB09-347286B3EE7B}">
      <formula1>$A$88:$A$92</formula1>
    </dataValidation>
    <dataValidation type="list" allowBlank="1" showInputMessage="1" showErrorMessage="1" sqref="H5" xr:uid="{59B63103-A80A-4362-9A66-FADBFDB17CF0}">
      <formula1>$A$81:$A$85</formula1>
    </dataValidation>
  </dataValidations>
  <hyperlinks>
    <hyperlink ref="C5" r:id="rId1" xr:uid="{FAAA3ABB-4E5E-48F9-B468-2BC93D290DC4}"/>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6491A5-2427-4E04-BA76-01B2F4156B55}">
  <sheetPr codeName="Sheet90"/>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33</v>
      </c>
      <c r="C4" s="151"/>
      <c r="D4" s="38" t="s">
        <v>2</v>
      </c>
      <c r="E4" s="115">
        <f>IF(K30&gt;0,K30,"")</f>
        <v>0.85000000000000009</v>
      </c>
      <c r="G4" s="133" t="s">
        <v>173</v>
      </c>
      <c r="H4" s="124"/>
      <c r="L4" s="139" t="s">
        <v>5</v>
      </c>
      <c r="M4" s="284" t="s">
        <v>466</v>
      </c>
      <c r="N4" s="260"/>
    </row>
    <row r="5" spans="1:14" ht="25" x14ac:dyDescent="0.25">
      <c r="A5" s="37" t="s">
        <v>96</v>
      </c>
      <c r="B5" s="18" t="s">
        <v>339</v>
      </c>
      <c r="C5" s="164" t="s">
        <v>340</v>
      </c>
      <c r="D5" s="38" t="s">
        <v>84</v>
      </c>
      <c r="E5" s="115">
        <f>IF(B9&gt;0,E4/B9,"")</f>
        <v>0.13754045307443369</v>
      </c>
      <c r="G5" s="122" t="s">
        <v>98</v>
      </c>
      <c r="H5" s="123" t="s">
        <v>148</v>
      </c>
      <c r="I5" s="1" t="s">
        <v>182</v>
      </c>
    </row>
    <row r="6" spans="1:14" ht="25.5" thickBot="1" x14ac:dyDescent="0.3">
      <c r="A6" s="38" t="s">
        <v>97</v>
      </c>
      <c r="B6" s="19" t="s">
        <v>341</v>
      </c>
      <c r="C6" s="151"/>
      <c r="D6" s="116" t="s">
        <v>85</v>
      </c>
      <c r="E6" s="117">
        <f>IF(E4="","",IF(E4&gt;=Forside!$H$7,4,IF(E4&gt;=Forside!$H$8,3,IF(E4&gt;=Forside!$H$9,2,IF(E4&gt;0,1,"")))))</f>
        <v>2</v>
      </c>
      <c r="G6" s="38" t="s">
        <v>99</v>
      </c>
      <c r="H6" s="40">
        <v>5</v>
      </c>
    </row>
    <row r="7" spans="1:14" ht="13" thickBot="1" x14ac:dyDescent="0.3">
      <c r="A7" s="38" t="s">
        <v>77</v>
      </c>
      <c r="B7" s="19" t="s">
        <v>342</v>
      </c>
      <c r="C7" s="151"/>
      <c r="D7" s="27"/>
      <c r="E7" s="28"/>
      <c r="G7" s="17" t="s">
        <v>66</v>
      </c>
      <c r="H7" s="42">
        <v>80</v>
      </c>
    </row>
    <row r="8" spans="1:14" ht="13" x14ac:dyDescent="0.3">
      <c r="A8" s="38" t="s">
        <v>91</v>
      </c>
      <c r="B8" s="14">
        <v>1.6</v>
      </c>
      <c r="C8" s="2"/>
      <c r="D8" s="118" t="s">
        <v>87</v>
      </c>
      <c r="E8" s="114"/>
      <c r="G8" s="38" t="s">
        <v>100</v>
      </c>
      <c r="H8" s="14">
        <v>75</v>
      </c>
    </row>
    <row r="9" spans="1:14" ht="13" thickBot="1" x14ac:dyDescent="0.3">
      <c r="A9" s="125" t="s">
        <v>6</v>
      </c>
      <c r="B9" s="20">
        <f>J55/1000000</f>
        <v>6.18</v>
      </c>
      <c r="C9" s="2"/>
      <c r="D9" s="38" t="s">
        <v>112</v>
      </c>
      <c r="E9" s="119">
        <f>K16</f>
        <v>0.35</v>
      </c>
      <c r="G9" s="38" t="s">
        <v>101</v>
      </c>
      <c r="H9" s="14">
        <v>85</v>
      </c>
    </row>
    <row r="10" spans="1:14" x14ac:dyDescent="0.25">
      <c r="C10" s="36"/>
      <c r="D10" s="38" t="s">
        <v>123</v>
      </c>
      <c r="E10" s="120">
        <f>K22</f>
        <v>0.2</v>
      </c>
      <c r="G10" s="38" t="s">
        <v>102</v>
      </c>
      <c r="H10" s="14">
        <v>0</v>
      </c>
    </row>
    <row r="11" spans="1:14" ht="24.75" customHeight="1" thickBot="1" x14ac:dyDescent="0.3">
      <c r="C11" s="36"/>
      <c r="D11" s="116" t="s">
        <v>130</v>
      </c>
      <c r="E11" s="121">
        <f>K26</f>
        <v>0.30000000000000004</v>
      </c>
    </row>
    <row r="12" spans="1:14" ht="13.5" thickBot="1" x14ac:dyDescent="0.3">
      <c r="A12" s="135" t="s">
        <v>17</v>
      </c>
      <c r="B12" s="105"/>
      <c r="C12" s="17"/>
      <c r="D12" s="17"/>
      <c r="E12"/>
    </row>
    <row r="13" spans="1:14" ht="13" x14ac:dyDescent="0.25">
      <c r="A13" s="261" t="s">
        <v>343</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0.35</v>
      </c>
    </row>
    <row r="17" spans="1:12"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2"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2" ht="15.75" customHeight="1" thickBot="1" x14ac:dyDescent="0.3">
      <c r="A19" s="267" t="s">
        <v>53</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2" ht="15.75" customHeight="1" thickBot="1" x14ac:dyDescent="0.3">
      <c r="A20" s="269"/>
      <c r="B20" s="270"/>
      <c r="C20" s="112"/>
      <c r="D20" s="112"/>
      <c r="E20" s="39"/>
      <c r="G20" s="41" t="s">
        <v>89</v>
      </c>
      <c r="H20" s="104">
        <f>IF(H9="","",H9)</f>
        <v>85</v>
      </c>
      <c r="I20" s="85">
        <f>Forside!E8</f>
        <v>0.05</v>
      </c>
      <c r="J20" s="66">
        <f>IF(H20="","",IF(H19="","",IF(H20&lt;=H19,0,IF(H20&lt;H19*1.05,1,IF(H20&lt;H19*1.1,2,IF(H20&lt;H19*1.15,3,IF(H20&gt;=H19*1.15,4,"")))))))</f>
        <v>2</v>
      </c>
      <c r="K20" s="65">
        <f t="shared" si="0"/>
        <v>0.1</v>
      </c>
    </row>
    <row r="21" spans="1:12" ht="16.5" thickBot="1" x14ac:dyDescent="0.3">
      <c r="A21" s="269"/>
      <c r="B21" s="270"/>
      <c r="C21" s="112"/>
      <c r="D21" s="112"/>
      <c r="E21" s="39"/>
      <c r="G21" s="101" t="s">
        <v>122</v>
      </c>
      <c r="H21" s="67"/>
      <c r="I21" s="85">
        <f>Forside!E9</f>
        <v>0.05</v>
      </c>
      <c r="J21" s="64" t="str">
        <f>IF(H21=A106,B106,IF(H21=A107,B107,(IF(H21=A108,B108,(IF(H21=A109,B109,(IF(H21=A110,B110,""))))))))</f>
        <v/>
      </c>
      <c r="K21" s="65" t="str">
        <f t="shared" si="0"/>
        <v/>
      </c>
    </row>
    <row r="22" spans="1:12" ht="16.5" thickBot="1" x14ac:dyDescent="0.35">
      <c r="A22" s="269"/>
      <c r="B22" s="270"/>
      <c r="C22" s="112"/>
      <c r="D22" s="112"/>
      <c r="E22" s="39"/>
      <c r="G22" s="57" t="s">
        <v>123</v>
      </c>
      <c r="H22" s="68"/>
      <c r="I22" s="59">
        <f>Forside!E10</f>
        <v>0.25</v>
      </c>
      <c r="J22" s="68"/>
      <c r="K22" s="69">
        <f>IF(J23="","",SUM(K23:K25))</f>
        <v>0.2</v>
      </c>
    </row>
    <row r="23" spans="1:12"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2"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2"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2" ht="16.5" thickBot="1" x14ac:dyDescent="0.35">
      <c r="A26" s="154" t="s">
        <v>184</v>
      </c>
      <c r="B26" s="155" t="s">
        <v>184</v>
      </c>
      <c r="C26" s="155">
        <v>1</v>
      </c>
      <c r="D26" s="156">
        <v>0</v>
      </c>
      <c r="E26" s="39"/>
      <c r="G26" s="57" t="s">
        <v>130</v>
      </c>
      <c r="H26" s="58"/>
      <c r="I26" s="59">
        <f>Forside!E14</f>
        <v>0.5</v>
      </c>
      <c r="J26" s="58"/>
      <c r="K26" s="60">
        <f>IF(J27="","",SUM(K27:K29))</f>
        <v>0.30000000000000004</v>
      </c>
    </row>
    <row r="27" spans="1:12" ht="16.5" thickBot="1" x14ac:dyDescent="0.35">
      <c r="E27" s="39"/>
      <c r="G27" s="79" t="s">
        <v>141</v>
      </c>
      <c r="H27" s="80" t="s">
        <v>107</v>
      </c>
      <c r="I27" s="85">
        <f>Forside!E15</f>
        <v>0.25</v>
      </c>
      <c r="J27" s="127">
        <f>IF(H27=A113,B113,IF(H27=A114,B114,(IF(H27=A115,B115,(IF(H27=A116,B116,(IF(H27=A117,B117,""))))))))</f>
        <v>0</v>
      </c>
      <c r="K27" s="130">
        <f t="shared" si="0"/>
        <v>0</v>
      </c>
    </row>
    <row r="28" spans="1:12" ht="14.5" thickBot="1" x14ac:dyDescent="0.3">
      <c r="G28" s="41" t="s">
        <v>62</v>
      </c>
      <c r="H28" s="74" t="s">
        <v>31</v>
      </c>
      <c r="I28" s="85">
        <f>Forside!E16</f>
        <v>0.05</v>
      </c>
      <c r="J28" s="128">
        <f>IF(H28=A128,B128,IF(H28=A129,B129,(IF(H28=A130,B130,(IF(H28=A131,B131,(IF(H28=A132,B132,""))))))))</f>
        <v>2</v>
      </c>
      <c r="K28" s="131">
        <f t="shared" si="0"/>
        <v>0.1</v>
      </c>
    </row>
    <row r="29" spans="1:12" ht="14.5" thickBot="1" x14ac:dyDescent="0.3">
      <c r="G29" s="41" t="s">
        <v>136</v>
      </c>
      <c r="H29" s="81" t="s">
        <v>154</v>
      </c>
      <c r="I29" s="85">
        <f>Forside!E17</f>
        <v>0.2</v>
      </c>
      <c r="J29" s="129">
        <f>IF(H29=A120,B120,IF(H29=A121,B121,(IF(H29=A122,B122,(IF(H29=A123,B123,(IF(H29=A124,B124,""))))))))</f>
        <v>1</v>
      </c>
      <c r="K29" s="131">
        <f t="shared" si="0"/>
        <v>0.2</v>
      </c>
      <c r="L29" s="5" t="s">
        <v>450</v>
      </c>
    </row>
    <row r="30" spans="1:12" ht="14.5" thickBot="1" x14ac:dyDescent="0.35">
      <c r="G30" s="57" t="s">
        <v>3</v>
      </c>
      <c r="H30" s="82"/>
      <c r="I30" s="83"/>
      <c r="J30" s="84"/>
      <c r="K30" s="132">
        <f>IF(Forside!E18="100%",IF(ISNUMBER(K16*K22*K26),K16+K22+K26,""),"Forkert vægtning")</f>
        <v>0.85000000000000009</v>
      </c>
    </row>
    <row r="32" spans="1:12"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446</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342</v>
      </c>
      <c r="H46" s="141">
        <v>1600</v>
      </c>
      <c r="I46" s="141">
        <f>Enhedspriser!C3</f>
        <v>3750</v>
      </c>
      <c r="J46" s="145">
        <f>H46*I46</f>
        <v>6000000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180000</v>
      </c>
    </row>
    <row r="55" spans="1:17" ht="27.75" customHeight="1" thickBot="1" x14ac:dyDescent="0.35">
      <c r="G55" s="149" t="s">
        <v>175</v>
      </c>
      <c r="H55" s="150"/>
      <c r="I55" s="150"/>
      <c r="J55" s="146">
        <f>SUM(J46:J54)</f>
        <v>6180000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D274D3A4-9D15-49C2-84EE-6602DB2B2A57}">
      <formula1>$A$113:$A$117</formula1>
    </dataValidation>
    <dataValidation type="list" allowBlank="1" showInputMessage="1" showErrorMessage="1" sqref="H25" xr:uid="{493D6795-A6CA-494D-85CD-12B7C61333A7}">
      <formula1>$A$97:$A$102</formula1>
    </dataValidation>
    <dataValidation type="list" allowBlank="1" showInputMessage="1" showErrorMessage="1" sqref="H21" xr:uid="{AE739B7A-E3A1-4CF2-9005-27159BE03686}">
      <formula1>$A$106:$A$110</formula1>
    </dataValidation>
    <dataValidation type="list" allowBlank="1" showInputMessage="1" showErrorMessage="1" sqref="H28" xr:uid="{9B45892A-4585-4893-9037-1A2AA8ADC90E}">
      <formula1>$A$128:$A$132</formula1>
    </dataValidation>
    <dataValidation type="list" allowBlank="1" showInputMessage="1" showErrorMessage="1" sqref="H24" xr:uid="{1EFA1233-EA67-4CEF-A824-DC2903E1D620}">
      <formula1>$A$137:$A$141</formula1>
    </dataValidation>
    <dataValidation type="list" allowBlank="1" showInputMessage="1" showErrorMessage="1" sqref="H29" xr:uid="{2BE8BD02-5B2C-427C-BCE1-214B6F691F03}">
      <formula1>$A$120:$A$124</formula1>
    </dataValidation>
    <dataValidation type="list" allowBlank="1" showInputMessage="1" showErrorMessage="1" sqref="H7" xr:uid="{F3B1470F-03F4-46A4-8462-2B54C9B2A30F}">
      <formula1>$A$69:$A$78</formula1>
    </dataValidation>
    <dataValidation type="list" allowBlank="1" showInputMessage="1" showErrorMessage="1" sqref="H23" xr:uid="{B3093D38-4E46-43EC-9349-D372F0BC67F1}">
      <formula1>$A$88:$A$92</formula1>
    </dataValidation>
    <dataValidation type="list" allowBlank="1" showInputMessage="1" showErrorMessage="1" sqref="H5" xr:uid="{918F2235-CDFF-4DD0-A673-C90E8D731618}">
      <formula1>$A$81:$A$85</formula1>
    </dataValidation>
  </dataValidations>
  <hyperlinks>
    <hyperlink ref="C5" r:id="rId1" xr:uid="{C142136E-F1AC-4BDF-A609-E4CAAA5DFAD4}"/>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A6B07-316B-451A-80B9-C6E74BC155E0}">
  <sheetPr codeName="Sheet91"/>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34</v>
      </c>
      <c r="C4" s="151"/>
      <c r="D4" s="38" t="s">
        <v>2</v>
      </c>
      <c r="E4" s="115">
        <f>IF(K30&gt;0,K30,"")</f>
        <v>2</v>
      </c>
      <c r="G4" s="133" t="s">
        <v>173</v>
      </c>
      <c r="H4" s="124"/>
      <c r="L4" s="139" t="s">
        <v>5</v>
      </c>
      <c r="M4" s="284" t="s">
        <v>466</v>
      </c>
      <c r="N4" s="260"/>
    </row>
    <row r="5" spans="1:14" ht="25" x14ac:dyDescent="0.25">
      <c r="A5" s="37" t="s">
        <v>96</v>
      </c>
      <c r="B5" s="18" t="s">
        <v>344</v>
      </c>
      <c r="C5" s="164" t="s">
        <v>345</v>
      </c>
      <c r="D5" s="38" t="s">
        <v>84</v>
      </c>
      <c r="E5" s="115">
        <f>IF(B9&gt;0,E4/B9,"")</f>
        <v>0.11095700416088766</v>
      </c>
      <c r="G5" s="122" t="s">
        <v>98</v>
      </c>
      <c r="H5" s="123" t="s">
        <v>139</v>
      </c>
      <c r="I5" s="5" t="s">
        <v>467</v>
      </c>
    </row>
    <row r="6" spans="1:14" ht="13" thickBot="1" x14ac:dyDescent="0.3">
      <c r="A6" s="38" t="s">
        <v>97</v>
      </c>
      <c r="B6" s="19" t="s">
        <v>346</v>
      </c>
      <c r="C6" s="151"/>
      <c r="D6" s="116" t="s">
        <v>85</v>
      </c>
      <c r="E6" s="117">
        <f>IF(E4="","",IF(E4&gt;=Forside!$H$7,4,IF(E4&gt;=Forside!$H$8,3,IF(E4&gt;=Forside!$H$9,2,IF(E4&gt;0,1,"")))))</f>
        <v>4</v>
      </c>
      <c r="G6" s="38" t="s">
        <v>99</v>
      </c>
      <c r="H6" s="40">
        <v>50</v>
      </c>
    </row>
    <row r="7" spans="1:14" ht="13" thickBot="1" x14ac:dyDescent="0.3">
      <c r="A7" s="38" t="s">
        <v>77</v>
      </c>
      <c r="B7" s="19" t="s">
        <v>192</v>
      </c>
      <c r="C7" s="151"/>
      <c r="D7" s="27"/>
      <c r="E7" s="28"/>
      <c r="G7" s="17" t="s">
        <v>66</v>
      </c>
      <c r="H7" s="42">
        <v>80</v>
      </c>
    </row>
    <row r="8" spans="1:14" ht="13" x14ac:dyDescent="0.3">
      <c r="A8" s="38" t="s">
        <v>91</v>
      </c>
      <c r="B8" s="14">
        <v>2</v>
      </c>
      <c r="C8" s="2"/>
      <c r="D8" s="118" t="s">
        <v>87</v>
      </c>
      <c r="E8" s="114"/>
      <c r="G8" s="38" t="s">
        <v>100</v>
      </c>
      <c r="H8" s="14">
        <v>75</v>
      </c>
      <c r="I8" s="1" t="s">
        <v>182</v>
      </c>
    </row>
    <row r="9" spans="1:14" ht="13" thickBot="1" x14ac:dyDescent="0.3">
      <c r="A9" s="125" t="s">
        <v>6</v>
      </c>
      <c r="B9" s="20">
        <f>J55/1000000</f>
        <v>18.024999999999999</v>
      </c>
      <c r="C9" s="2"/>
      <c r="D9" s="38" t="s">
        <v>112</v>
      </c>
      <c r="E9" s="119">
        <f>K16</f>
        <v>0.75</v>
      </c>
      <c r="G9" s="38" t="s">
        <v>101</v>
      </c>
      <c r="H9" s="14">
        <v>85</v>
      </c>
      <c r="I9" s="1" t="s">
        <v>182</v>
      </c>
    </row>
    <row r="10" spans="1:14" x14ac:dyDescent="0.25">
      <c r="C10" s="36"/>
      <c r="D10" s="38" t="s">
        <v>123</v>
      </c>
      <c r="E10" s="120">
        <f>K22</f>
        <v>0.60000000000000009</v>
      </c>
      <c r="G10" s="38" t="s">
        <v>102</v>
      </c>
      <c r="H10" s="14">
        <v>4</v>
      </c>
    </row>
    <row r="11" spans="1:14" ht="24.75" customHeight="1" thickBot="1" x14ac:dyDescent="0.3">
      <c r="C11" s="36"/>
      <c r="D11" s="116" t="s">
        <v>130</v>
      </c>
      <c r="E11" s="121">
        <f>K26</f>
        <v>0.65</v>
      </c>
    </row>
    <row r="12" spans="1:14" ht="13.5" thickBot="1" x14ac:dyDescent="0.3">
      <c r="A12" s="135" t="s">
        <v>17</v>
      </c>
      <c r="B12" s="105"/>
      <c r="C12" s="17"/>
      <c r="D12" s="17"/>
      <c r="E12"/>
    </row>
    <row r="13" spans="1:14" ht="13" x14ac:dyDescent="0.25">
      <c r="A13" s="261" t="s">
        <v>347</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0.75</v>
      </c>
    </row>
    <row r="17" spans="1:11" ht="25.5" thickBot="1" x14ac:dyDescent="0.3">
      <c r="A17" s="5"/>
      <c r="B17" s="5"/>
      <c r="C17" s="5"/>
      <c r="D17" s="5"/>
      <c r="G17" s="61" t="s">
        <v>137</v>
      </c>
      <c r="H17" s="102">
        <f>IF(H10="","",H10)</f>
        <v>4</v>
      </c>
      <c r="I17" s="85">
        <f>Forside!E5</f>
        <v>0.05</v>
      </c>
      <c r="J17" s="62">
        <f>IF(H17="","",IF(H17=0,0,IF(H17&lt;3,1,IF(H17&lt;6,2,IF(H17&lt;10,3,IF(H17&gt;=10,4,""))))))</f>
        <v>2</v>
      </c>
      <c r="K17" s="63">
        <f t="shared" ref="K17:K29" si="0">IF(J17="","",J17*I17)</f>
        <v>0.1</v>
      </c>
    </row>
    <row r="18" spans="1:11" ht="12.75" customHeight="1" thickBot="1" x14ac:dyDescent="0.3">
      <c r="A18" s="136" t="s">
        <v>90</v>
      </c>
      <c r="B18" s="52"/>
      <c r="C18" s="109"/>
      <c r="D18" s="109"/>
      <c r="G18" s="41" t="s">
        <v>138</v>
      </c>
      <c r="H18" s="103" t="str">
        <f>IF(H5="","",H5)</f>
        <v>2500-4999</v>
      </c>
      <c r="I18" s="85">
        <f>Forside!E6</f>
        <v>0.05</v>
      </c>
      <c r="J18" s="64">
        <f>IF(H18="","",IF(H18="&lt;250",0,IF(H18="250-999",1,IF(H18="1000-2499",2,IF(H18="2500-4999",3,IF(H18="&gt;=5000",4,""))))))</f>
        <v>3</v>
      </c>
      <c r="K18" s="65">
        <f t="shared" si="0"/>
        <v>0.15000000000000002</v>
      </c>
    </row>
    <row r="19" spans="1:11" ht="15.75" customHeight="1" thickBot="1" x14ac:dyDescent="0.3">
      <c r="A19" s="267" t="s">
        <v>348</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85</v>
      </c>
      <c r="I20" s="85">
        <f>Forside!E8</f>
        <v>0.05</v>
      </c>
      <c r="J20" s="66">
        <f>IF(H20="","",IF(H19="","",IF(H20&lt;=H19,0,IF(H20&lt;H19*1.05,1,IF(H20&lt;H19*1.1,2,IF(H20&lt;H19*1.15,3,IF(H20&gt;=H19*1.15,4,"")))))))</f>
        <v>2</v>
      </c>
      <c r="K20" s="65">
        <f t="shared" si="0"/>
        <v>0.1</v>
      </c>
    </row>
    <row r="21" spans="1:11" ht="16.5" thickBot="1" x14ac:dyDescent="0.3">
      <c r="A21" s="269"/>
      <c r="B21" s="270"/>
      <c r="C21" s="112"/>
      <c r="D21" s="112"/>
      <c r="E21" s="39"/>
      <c r="G21" s="101" t="s">
        <v>122</v>
      </c>
      <c r="H21" s="67" t="s">
        <v>152</v>
      </c>
      <c r="I21" s="85">
        <f>Forside!E9</f>
        <v>0.05</v>
      </c>
      <c r="J21" s="64">
        <f>IF(H21=A106,B106,IF(H21=A107,B107,(IF(H21=A108,B108,(IF(H21=A109,B109,(IF(H21=A110,B110,""))))))))</f>
        <v>4</v>
      </c>
      <c r="K21" s="65">
        <f t="shared" si="0"/>
        <v>0.2</v>
      </c>
    </row>
    <row r="22" spans="1:11" ht="16.5" thickBot="1" x14ac:dyDescent="0.35">
      <c r="A22" s="269"/>
      <c r="B22" s="270"/>
      <c r="C22" s="112"/>
      <c r="D22" s="112"/>
      <c r="E22" s="39"/>
      <c r="G22" s="57" t="s">
        <v>123</v>
      </c>
      <c r="H22" s="68"/>
      <c r="I22" s="59">
        <f>Forside!E10</f>
        <v>0.25</v>
      </c>
      <c r="J22" s="68"/>
      <c r="K22" s="69">
        <f>IF(J23="","",SUM(K23:K25))</f>
        <v>0.60000000000000009</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25.5" thickBot="1" x14ac:dyDescent="0.35">
      <c r="A24" s="5"/>
      <c r="B24" s="5"/>
      <c r="C24" s="5"/>
      <c r="D24" s="5"/>
      <c r="E24" s="39"/>
      <c r="G24" s="70" t="s">
        <v>140</v>
      </c>
      <c r="H24" s="74" t="s">
        <v>79</v>
      </c>
      <c r="I24" s="85">
        <f>Forside!E12</f>
        <v>0.1</v>
      </c>
      <c r="J24" s="64">
        <f>IF(H24=A137,B137,IF(H24=A138,B138,(IF(H24=A139,B139,(IF(H24=A140,B140,(IF(H24=A141,B141,""))))))))</f>
        <v>4</v>
      </c>
      <c r="K24" s="65">
        <f t="shared" si="0"/>
        <v>0.4</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0</v>
      </c>
      <c r="D26" s="156">
        <v>0</v>
      </c>
      <c r="E26" s="39"/>
      <c r="G26" s="57" t="s">
        <v>130</v>
      </c>
      <c r="H26" s="58"/>
      <c r="I26" s="59">
        <f>Forside!E14</f>
        <v>0.5</v>
      </c>
      <c r="J26" s="58"/>
      <c r="K26" s="60">
        <f>IF(J27="","",SUM(K27:K29))</f>
        <v>0.65</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63</v>
      </c>
      <c r="I28" s="85">
        <f>Forside!E16</f>
        <v>0.05</v>
      </c>
      <c r="J28" s="128">
        <f>IF(H28=A128,B128,IF(H28=A129,B129,(IF(H28=A130,B130,(IF(H28=A131,B131,(IF(H28=A132,B132,""))))))))</f>
        <v>4</v>
      </c>
      <c r="K28" s="131">
        <f t="shared" si="0"/>
        <v>0.2</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2</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445</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2000</v>
      </c>
      <c r="I46" s="141">
        <f>Enhedspriser!C3</f>
        <v>3750</v>
      </c>
      <c r="J46" s="145">
        <f>H46*I46</f>
        <v>7500000</v>
      </c>
      <c r="L46" s="250" t="s">
        <v>172</v>
      </c>
      <c r="M46" s="251"/>
      <c r="N46" s="252"/>
    </row>
    <row r="47" spans="6:14" ht="12.75" customHeight="1" x14ac:dyDescent="0.3">
      <c r="G47" s="140" t="s">
        <v>349</v>
      </c>
      <c r="H47" s="141">
        <v>1</v>
      </c>
      <c r="I47" s="141">
        <v>5000000</v>
      </c>
      <c r="J47" s="145">
        <f>H47*I47</f>
        <v>5000000</v>
      </c>
      <c r="K47" s="158" t="s">
        <v>224</v>
      </c>
      <c r="L47" s="250"/>
      <c r="M47" s="251"/>
      <c r="N47" s="252"/>
    </row>
    <row r="48" spans="6:14" ht="13" x14ac:dyDescent="0.3">
      <c r="G48" s="140" t="s">
        <v>350</v>
      </c>
      <c r="H48" s="141">
        <v>1</v>
      </c>
      <c r="I48" s="141">
        <v>5000000</v>
      </c>
      <c r="J48" s="145">
        <f t="shared" ref="J48:J53" si="1">H48*I48</f>
        <v>5000000</v>
      </c>
      <c r="K48" s="158" t="s">
        <v>224</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525000</v>
      </c>
    </row>
    <row r="55" spans="1:17" ht="27.75" customHeight="1" thickBot="1" x14ac:dyDescent="0.35">
      <c r="G55" s="149" t="s">
        <v>175</v>
      </c>
      <c r="H55" s="150"/>
      <c r="I55" s="150"/>
      <c r="J55" s="146">
        <f>SUM(J46:J54)</f>
        <v>18025000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D4475E0A-FD65-4C79-87DC-C2369D897DC5}">
      <formula1>$A$113:$A$117</formula1>
    </dataValidation>
    <dataValidation type="list" allowBlank="1" showInputMessage="1" showErrorMessage="1" sqref="H25" xr:uid="{40A27D65-7FF6-459C-B249-56195376BDDF}">
      <formula1>$A$97:$A$102</formula1>
    </dataValidation>
    <dataValidation type="list" allowBlank="1" showInputMessage="1" showErrorMessage="1" sqref="H21" xr:uid="{399A7E90-7327-4A74-82CA-731370961815}">
      <formula1>$A$106:$A$110</formula1>
    </dataValidation>
    <dataValidation type="list" allowBlank="1" showInputMessage="1" showErrorMessage="1" sqref="H28" xr:uid="{26B05D11-30C8-4A79-838C-17F91845C575}">
      <formula1>$A$128:$A$132</formula1>
    </dataValidation>
    <dataValidation type="list" allowBlank="1" showInputMessage="1" showErrorMessage="1" sqref="H24" xr:uid="{3FB58FF4-440C-4765-98E1-BF1AE6C5F76E}">
      <formula1>$A$137:$A$141</formula1>
    </dataValidation>
    <dataValidation type="list" allowBlank="1" showInputMessage="1" showErrorMessage="1" sqref="H29" xr:uid="{4E33EABD-6EA7-4045-BA05-E86E0F7B8875}">
      <formula1>$A$120:$A$124</formula1>
    </dataValidation>
    <dataValidation type="list" allowBlank="1" showInputMessage="1" showErrorMessage="1" sqref="H7" xr:uid="{569495EC-79DC-47F1-8B10-A0C68D10A491}">
      <formula1>$A$69:$A$78</formula1>
    </dataValidation>
    <dataValidation type="list" allowBlank="1" showInputMessage="1" showErrorMessage="1" sqref="H23" xr:uid="{7D3E8AB8-5A91-4D65-AFC6-BA6B4DC0C41C}">
      <formula1>$A$88:$A$92</formula1>
    </dataValidation>
    <dataValidation type="list" allowBlank="1" showInputMessage="1" showErrorMessage="1" sqref="H5" xr:uid="{482A2DB4-12EF-48E9-9ABF-628A56520BA9}">
      <formula1>$A$81:$A$85</formula1>
    </dataValidation>
  </dataValidations>
  <hyperlinks>
    <hyperlink ref="C5" r:id="rId1" xr:uid="{E290C5A2-46F6-4098-8F82-076E1A6C27D4}"/>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DF1C61-5382-4E5D-8E32-8DFF4A336FD2}">
  <sheetPr codeName="Sheet92"/>
  <dimension ref="A1:Q174"/>
  <sheetViews>
    <sheetView view="pageLayout" topLeftCell="A2"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37</v>
      </c>
      <c r="C4" s="151"/>
      <c r="D4" s="38" t="s">
        <v>2</v>
      </c>
      <c r="E4" s="115">
        <f>IF(K30&gt;0,K30,"")</f>
        <v>1.8</v>
      </c>
      <c r="G4" s="133" t="s">
        <v>173</v>
      </c>
      <c r="H4" s="124"/>
      <c r="L4" s="139" t="s">
        <v>5</v>
      </c>
      <c r="M4" s="284" t="s">
        <v>466</v>
      </c>
      <c r="N4" s="260"/>
    </row>
    <row r="5" spans="1:14" ht="25" x14ac:dyDescent="0.25">
      <c r="A5" s="37" t="s">
        <v>96</v>
      </c>
      <c r="B5" s="18" t="s">
        <v>351</v>
      </c>
      <c r="C5" s="164" t="s">
        <v>352</v>
      </c>
      <c r="D5" s="38" t="s">
        <v>84</v>
      </c>
      <c r="E5" s="115">
        <f>IF(B9&gt;0,E4/B9,"")</f>
        <v>8.8261253309797005E-2</v>
      </c>
      <c r="G5" s="122" t="s">
        <v>98</v>
      </c>
      <c r="H5" s="123" t="s">
        <v>139</v>
      </c>
    </row>
    <row r="6" spans="1:14" ht="13" thickBot="1" x14ac:dyDescent="0.3">
      <c r="A6" s="38" t="s">
        <v>97</v>
      </c>
      <c r="B6" s="19" t="s">
        <v>353</v>
      </c>
      <c r="C6" s="151"/>
      <c r="D6" s="116" t="s">
        <v>85</v>
      </c>
      <c r="E6" s="117">
        <f>IF(E4="","",IF(E4&gt;=Forside!$H$7,4,IF(E4&gt;=Forside!$H$8,3,IF(E4&gt;=Forside!$H$9,2,IF(E4&gt;0,1,"")))))</f>
        <v>4</v>
      </c>
      <c r="G6" s="38" t="s">
        <v>99</v>
      </c>
      <c r="H6" s="40">
        <v>10</v>
      </c>
    </row>
    <row r="7" spans="1:14" ht="13" thickBot="1" x14ac:dyDescent="0.3">
      <c r="A7" s="38" t="s">
        <v>77</v>
      </c>
      <c r="B7" s="19" t="s">
        <v>192</v>
      </c>
      <c r="C7" s="151"/>
      <c r="D7" s="27"/>
      <c r="E7" s="28"/>
      <c r="G7" s="17" t="s">
        <v>66</v>
      </c>
      <c r="H7" s="42">
        <v>80</v>
      </c>
    </row>
    <row r="8" spans="1:14" ht="13" x14ac:dyDescent="0.3">
      <c r="A8" s="38" t="s">
        <v>91</v>
      </c>
      <c r="B8" s="14">
        <v>5.2</v>
      </c>
      <c r="C8" s="2"/>
      <c r="D8" s="118" t="s">
        <v>87</v>
      </c>
      <c r="E8" s="114"/>
      <c r="G8" s="38" t="s">
        <v>100</v>
      </c>
      <c r="H8" s="14">
        <v>77</v>
      </c>
    </row>
    <row r="9" spans="1:14" ht="13" thickBot="1" x14ac:dyDescent="0.3">
      <c r="A9" s="125" t="s">
        <v>6</v>
      </c>
      <c r="B9" s="20">
        <f>J55/1000000</f>
        <v>20.393999999999998</v>
      </c>
      <c r="C9" s="2"/>
      <c r="D9" s="38" t="s">
        <v>112</v>
      </c>
      <c r="E9" s="119">
        <f>K16</f>
        <v>0.75</v>
      </c>
      <c r="G9" s="38" t="s">
        <v>101</v>
      </c>
      <c r="H9" s="14">
        <v>88</v>
      </c>
    </row>
    <row r="10" spans="1:14" x14ac:dyDescent="0.25">
      <c r="C10" s="36"/>
      <c r="D10" s="38" t="s">
        <v>123</v>
      </c>
      <c r="E10" s="120">
        <f>K22</f>
        <v>0.5</v>
      </c>
      <c r="G10" s="38" t="s">
        <v>102</v>
      </c>
      <c r="H10" s="14">
        <v>6</v>
      </c>
    </row>
    <row r="11" spans="1:14" ht="24.75" customHeight="1" thickBot="1" x14ac:dyDescent="0.3">
      <c r="C11" s="36"/>
      <c r="D11" s="116" t="s">
        <v>130</v>
      </c>
      <c r="E11" s="121">
        <f>K26</f>
        <v>0.55000000000000004</v>
      </c>
    </row>
    <row r="12" spans="1:14" ht="13.5" thickBot="1" x14ac:dyDescent="0.3">
      <c r="A12" s="135" t="s">
        <v>17</v>
      </c>
      <c r="B12" s="105"/>
      <c r="C12" s="17"/>
      <c r="D12" s="17"/>
      <c r="E12"/>
    </row>
    <row r="13" spans="1:14" ht="13" x14ac:dyDescent="0.25">
      <c r="A13" s="261" t="s">
        <v>354</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0.75</v>
      </c>
    </row>
    <row r="17" spans="1:11" ht="25.5" thickBot="1" x14ac:dyDescent="0.3">
      <c r="A17" s="5"/>
      <c r="B17" s="5"/>
      <c r="C17" s="5"/>
      <c r="D17" s="5"/>
      <c r="G17" s="61" t="s">
        <v>137</v>
      </c>
      <c r="H17" s="102">
        <f>IF(H10="","",H10)</f>
        <v>6</v>
      </c>
      <c r="I17" s="85">
        <f>Forside!E5</f>
        <v>0.05</v>
      </c>
      <c r="J17" s="62">
        <f>IF(H17="","",IF(H17=0,0,IF(H17&lt;3,1,IF(H17&lt;6,2,IF(H17&lt;10,3,IF(H17&gt;=10,4,""))))))</f>
        <v>3</v>
      </c>
      <c r="K17" s="63">
        <f t="shared" ref="K17:K29" si="0">IF(J17="","",J17*I17)</f>
        <v>0.15000000000000002</v>
      </c>
    </row>
    <row r="18" spans="1:11" ht="12.75" customHeight="1" thickBot="1" x14ac:dyDescent="0.3">
      <c r="A18" s="136" t="s">
        <v>90</v>
      </c>
      <c r="B18" s="52"/>
      <c r="C18" s="109"/>
      <c r="D18" s="109"/>
      <c r="G18" s="41" t="s">
        <v>138</v>
      </c>
      <c r="H18" s="103" t="str">
        <f>IF(H5="","",H5)</f>
        <v>2500-4999</v>
      </c>
      <c r="I18" s="85">
        <f>Forside!E6</f>
        <v>0.05</v>
      </c>
      <c r="J18" s="64">
        <f>IF(H18="","",IF(H18="&lt;250",0,IF(H18="250-999",1,IF(H18="1000-2499",2,IF(H18="2500-4999",3,IF(H18="&gt;=5000",4,""))))))</f>
        <v>3</v>
      </c>
      <c r="K18" s="65">
        <f t="shared" si="0"/>
        <v>0.15000000000000002</v>
      </c>
    </row>
    <row r="19" spans="1:11" ht="15.75" customHeight="1" thickBot="1" x14ac:dyDescent="0.3">
      <c r="A19" s="267"/>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88</v>
      </c>
      <c r="I20" s="85">
        <f>Forside!E8</f>
        <v>0.05</v>
      </c>
      <c r="J20" s="66">
        <f>IF(H20="","",IF(H19="","",IF(H20&lt;=H19,0,IF(H20&lt;H19*1.05,1,IF(H20&lt;H19*1.1,2,IF(H20&lt;H19*1.15,3,IF(H20&gt;=H19*1.15,4,"")))))))</f>
        <v>3</v>
      </c>
      <c r="K20" s="65">
        <f t="shared" si="0"/>
        <v>0.15000000000000002</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0.5</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80</v>
      </c>
      <c r="I24" s="85">
        <f>Forside!E12</f>
        <v>0.1</v>
      </c>
      <c r="J24" s="64">
        <f>IF(H24=A137,B137,IF(H24=A138,B138,(IF(H24=A139,B139,(IF(H24=A140,B140,(IF(H24=A141,B141,""))))))))</f>
        <v>3</v>
      </c>
      <c r="K24" s="65">
        <f t="shared" si="0"/>
        <v>0.30000000000000004</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3</v>
      </c>
      <c r="D26" s="156">
        <v>0</v>
      </c>
      <c r="E26" s="39"/>
      <c r="G26" s="57" t="s">
        <v>130</v>
      </c>
      <c r="H26" s="58"/>
      <c r="I26" s="59">
        <f>Forside!E14</f>
        <v>0.5</v>
      </c>
      <c r="J26" s="58"/>
      <c r="K26" s="60">
        <f>IF(J27="","",SUM(K27:K29))</f>
        <v>0.55000000000000004</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1.8</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449</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5200</v>
      </c>
      <c r="I46" s="141">
        <f>Enhedspriser!C3</f>
        <v>3750</v>
      </c>
      <c r="J46" s="145">
        <f>H46*I46</f>
        <v>19500000</v>
      </c>
      <c r="L46" s="250" t="s">
        <v>172</v>
      </c>
      <c r="M46" s="251"/>
      <c r="N46" s="252"/>
    </row>
    <row r="47" spans="6:14" ht="12.75" customHeight="1" x14ac:dyDescent="0.3">
      <c r="G47" s="140" t="s">
        <v>55</v>
      </c>
      <c r="H47" s="141">
        <v>1</v>
      </c>
      <c r="I47" s="141">
        <f>Enhedspriser!C7</f>
        <v>300000</v>
      </c>
      <c r="J47" s="145">
        <f>H47*I47</f>
        <v>300000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594000</v>
      </c>
    </row>
    <row r="55" spans="1:17" ht="27.75" customHeight="1" thickBot="1" x14ac:dyDescent="0.35">
      <c r="G55" s="149" t="s">
        <v>175</v>
      </c>
      <c r="H55" s="150"/>
      <c r="I55" s="150"/>
      <c r="J55" s="146">
        <f>SUM(J46:J54)</f>
        <v>20394000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27896CBB-1EE8-4840-B1B1-31BDC1286193}">
      <formula1>$A$113:$A$117</formula1>
    </dataValidation>
    <dataValidation type="list" allowBlank="1" showInputMessage="1" showErrorMessage="1" sqref="H25" xr:uid="{2155BAFE-0D5F-45FE-A8CF-CB32154A0C43}">
      <formula1>$A$97:$A$102</formula1>
    </dataValidation>
    <dataValidation type="list" allowBlank="1" showInputMessage="1" showErrorMessage="1" sqref="H21" xr:uid="{DD22B48A-0B21-4386-8ACF-182819214CCC}">
      <formula1>$A$106:$A$110</formula1>
    </dataValidation>
    <dataValidation type="list" allowBlank="1" showInputMessage="1" showErrorMessage="1" sqref="H28" xr:uid="{EC4C6BED-83B2-4DE7-8B7F-EEF83F1C89BF}">
      <formula1>$A$128:$A$132</formula1>
    </dataValidation>
    <dataValidation type="list" allowBlank="1" showInputMessage="1" showErrorMessage="1" sqref="H24" xr:uid="{F94705ED-E436-442E-A540-0F64E29A445B}">
      <formula1>$A$137:$A$141</formula1>
    </dataValidation>
    <dataValidation type="list" allowBlank="1" showInputMessage="1" showErrorMessage="1" sqref="H29" xr:uid="{5530BA29-EB5A-4BEC-9B14-DA60DAFF1532}">
      <formula1>$A$120:$A$124</formula1>
    </dataValidation>
    <dataValidation type="list" allowBlank="1" showInputMessage="1" showErrorMessage="1" sqref="H7" xr:uid="{C98824C2-0979-407C-B4B5-F44CD6131A4D}">
      <formula1>$A$69:$A$78</formula1>
    </dataValidation>
    <dataValidation type="list" allowBlank="1" showInputMessage="1" showErrorMessage="1" sqref="H23" xr:uid="{211084A9-B421-494C-B0D9-BDBD37C64208}">
      <formula1>$A$88:$A$92</formula1>
    </dataValidation>
    <dataValidation type="list" allowBlank="1" showInputMessage="1" showErrorMessage="1" sqref="H5" xr:uid="{E170D4D0-276F-46FD-9A0B-69524FB5983E}">
      <formula1>$A$81:$A$85</formula1>
    </dataValidation>
  </dataValidations>
  <hyperlinks>
    <hyperlink ref="C5" r:id="rId1" xr:uid="{919D514C-F557-42FB-A67A-38799D8791DA}"/>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773FD9-97CE-4E13-887B-9DA350A128FE}">
  <sheetPr codeName="Sheet93"/>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38</v>
      </c>
      <c r="C4" s="151"/>
      <c r="D4" s="38" t="s">
        <v>2</v>
      </c>
      <c r="E4" s="115">
        <f>IF(K30&gt;0,K30,"")</f>
        <v>0.85</v>
      </c>
      <c r="G4" s="133" t="s">
        <v>173</v>
      </c>
      <c r="H4" s="124"/>
      <c r="L4" s="139" t="s">
        <v>5</v>
      </c>
      <c r="M4" s="284" t="s">
        <v>466</v>
      </c>
      <c r="N4" s="260"/>
    </row>
    <row r="5" spans="1:14" ht="25" x14ac:dyDescent="0.25">
      <c r="A5" s="37" t="s">
        <v>96</v>
      </c>
      <c r="B5" s="18" t="s">
        <v>355</v>
      </c>
      <c r="C5" s="164" t="s">
        <v>356</v>
      </c>
      <c r="D5" s="38" t="s">
        <v>84</v>
      </c>
      <c r="E5" s="115">
        <f>IF(B9&gt;0,E4/B9,"")</f>
        <v>0.12003530450132392</v>
      </c>
      <c r="G5" s="122" t="s">
        <v>98</v>
      </c>
      <c r="H5" s="123" t="s">
        <v>148</v>
      </c>
      <c r="I5" s="1" t="s">
        <v>182</v>
      </c>
    </row>
    <row r="6" spans="1:14" ht="13" thickBot="1" x14ac:dyDescent="0.3">
      <c r="A6" s="38" t="s">
        <v>97</v>
      </c>
      <c r="B6" s="19" t="s">
        <v>357</v>
      </c>
      <c r="C6" s="151"/>
      <c r="D6" s="116" t="s">
        <v>85</v>
      </c>
      <c r="E6" s="117">
        <f>IF(E4="","",IF(E4&gt;=Forside!$H$7,4,IF(E4&gt;=Forside!$H$8,3,IF(E4&gt;=Forside!$H$9,2,IF(E4&gt;0,1,"")))))</f>
        <v>2</v>
      </c>
      <c r="G6" s="38" t="s">
        <v>99</v>
      </c>
      <c r="H6" s="40">
        <v>5</v>
      </c>
      <c r="I6" s="1" t="s">
        <v>182</v>
      </c>
    </row>
    <row r="7" spans="1:14" ht="13" thickBot="1" x14ac:dyDescent="0.3">
      <c r="A7" s="38" t="s">
        <v>77</v>
      </c>
      <c r="B7" s="19" t="s">
        <v>192</v>
      </c>
      <c r="C7" s="151"/>
      <c r="D7" s="27"/>
      <c r="E7" s="28"/>
      <c r="G7" s="17" t="s">
        <v>66</v>
      </c>
      <c r="H7" s="42">
        <v>80</v>
      </c>
    </row>
    <row r="8" spans="1:14" ht="13" x14ac:dyDescent="0.3">
      <c r="A8" s="38" t="s">
        <v>91</v>
      </c>
      <c r="B8" s="14">
        <v>1.7</v>
      </c>
      <c r="C8" s="2"/>
      <c r="D8" s="118" t="s">
        <v>87</v>
      </c>
      <c r="E8" s="114"/>
      <c r="G8" s="38" t="s">
        <v>100</v>
      </c>
      <c r="H8" s="14">
        <v>65</v>
      </c>
      <c r="I8" s="1" t="s">
        <v>182</v>
      </c>
    </row>
    <row r="9" spans="1:14" ht="13" thickBot="1" x14ac:dyDescent="0.3">
      <c r="A9" s="125" t="s">
        <v>6</v>
      </c>
      <c r="B9" s="20">
        <f>J55/1000000</f>
        <v>7.0812499999999998</v>
      </c>
      <c r="C9" s="2"/>
      <c r="D9" s="38" t="s">
        <v>112</v>
      </c>
      <c r="E9" s="119">
        <f>K16</f>
        <v>0.45</v>
      </c>
      <c r="G9" s="38" t="s">
        <v>101</v>
      </c>
      <c r="H9" s="14">
        <v>75</v>
      </c>
      <c r="I9" s="1" t="s">
        <v>182</v>
      </c>
    </row>
    <row r="10" spans="1:14" x14ac:dyDescent="0.25">
      <c r="C10" s="36"/>
      <c r="D10" s="38" t="s">
        <v>123</v>
      </c>
      <c r="E10" s="120">
        <f>K22</f>
        <v>0.30000000000000004</v>
      </c>
      <c r="G10" s="38" t="s">
        <v>102</v>
      </c>
      <c r="H10" s="14">
        <v>0</v>
      </c>
    </row>
    <row r="11" spans="1:14" ht="24.75" customHeight="1" thickBot="1" x14ac:dyDescent="0.3">
      <c r="C11" s="36"/>
      <c r="D11" s="116" t="s">
        <v>130</v>
      </c>
      <c r="E11" s="121">
        <f>K26</f>
        <v>0.1</v>
      </c>
    </row>
    <row r="12" spans="1:14" ht="13.5" thickBot="1" x14ac:dyDescent="0.3">
      <c r="A12" s="135" t="s">
        <v>17</v>
      </c>
      <c r="B12" s="105"/>
      <c r="C12" s="17"/>
      <c r="D12" s="17"/>
      <c r="E12"/>
    </row>
    <row r="13" spans="1:14" ht="13" x14ac:dyDescent="0.25">
      <c r="A13" s="261" t="s">
        <v>358</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0.45</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359</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75</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152</v>
      </c>
      <c r="I21" s="85">
        <f>Forside!E9</f>
        <v>0.05</v>
      </c>
      <c r="J21" s="64">
        <f>IF(H21=A106,B106,IF(H21=A107,B107,(IF(H21=A108,B108,(IF(H21=A109,B109,(IF(H21=A110,B110,""))))))))</f>
        <v>4</v>
      </c>
      <c r="K21" s="65">
        <f t="shared" si="0"/>
        <v>0.2</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2</v>
      </c>
      <c r="D26" s="156">
        <v>0</v>
      </c>
      <c r="E26" s="39"/>
      <c r="G26" s="57" t="s">
        <v>130</v>
      </c>
      <c r="H26" s="58"/>
      <c r="I26" s="59">
        <f>Forside!E14</f>
        <v>0.5</v>
      </c>
      <c r="J26" s="58"/>
      <c r="K26" s="60">
        <f>IF(J27="","",SUM(K27:K29))</f>
        <v>0.1</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0.85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451</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1700</v>
      </c>
      <c r="I46" s="141">
        <f>Enhedspriser!C3</f>
        <v>3750</v>
      </c>
      <c r="J46" s="145">
        <f>H46*I46</f>
        <v>6375000</v>
      </c>
      <c r="L46" s="250" t="s">
        <v>172</v>
      </c>
      <c r="M46" s="251"/>
      <c r="N46" s="252"/>
    </row>
    <row r="47" spans="6:14" ht="12.75" customHeight="1" x14ac:dyDescent="0.3">
      <c r="G47" s="140" t="s">
        <v>360</v>
      </c>
      <c r="H47" s="141">
        <v>1</v>
      </c>
      <c r="I47" s="141">
        <v>500000</v>
      </c>
      <c r="J47" s="145">
        <f>H47*I47</f>
        <v>500000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206250</v>
      </c>
    </row>
    <row r="55" spans="1:17" ht="27.75" customHeight="1" thickBot="1" x14ac:dyDescent="0.35">
      <c r="G55" s="149" t="s">
        <v>175</v>
      </c>
      <c r="H55" s="150"/>
      <c r="I55" s="150"/>
      <c r="J55" s="146">
        <f>SUM(J46:J54)</f>
        <v>7081250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418A6236-C863-4484-8B02-4B4254493E44}">
      <formula1>$A$113:$A$117</formula1>
    </dataValidation>
    <dataValidation type="list" allowBlank="1" showInputMessage="1" showErrorMessage="1" sqref="H25" xr:uid="{A34CE5E4-3B3C-4784-929E-BBB207C749FB}">
      <formula1>$A$97:$A$102</formula1>
    </dataValidation>
    <dataValidation type="list" allowBlank="1" showInputMessage="1" showErrorMessage="1" sqref="H21" xr:uid="{DDEBACF3-47B8-493E-A7AB-B0AF94475D7D}">
      <formula1>$A$106:$A$110</formula1>
    </dataValidation>
    <dataValidation type="list" allowBlank="1" showInputMessage="1" showErrorMessage="1" sqref="H28" xr:uid="{B9CBAD1C-A7CE-442C-956F-943F56508DCD}">
      <formula1>$A$128:$A$132</formula1>
    </dataValidation>
    <dataValidation type="list" allowBlank="1" showInputMessage="1" showErrorMessage="1" sqref="H24" xr:uid="{2E6A94EE-1EEF-4933-88EA-AFA080A4F07F}">
      <formula1>$A$137:$A$141</formula1>
    </dataValidation>
    <dataValidation type="list" allowBlank="1" showInputMessage="1" showErrorMessage="1" sqref="H29" xr:uid="{9AA49A57-12F8-4FFD-B1E2-0F704CDA7D64}">
      <formula1>$A$120:$A$124</formula1>
    </dataValidation>
    <dataValidation type="list" allowBlank="1" showInputMessage="1" showErrorMessage="1" sqref="H7" xr:uid="{B95CEB65-A7AF-47AE-9C41-F79174813371}">
      <formula1>$A$69:$A$78</formula1>
    </dataValidation>
    <dataValidation type="list" allowBlank="1" showInputMessage="1" showErrorMessage="1" sqref="H23" xr:uid="{B9F38FD7-AF32-420D-A626-72A7BB8E51CB}">
      <formula1>$A$88:$A$92</formula1>
    </dataValidation>
    <dataValidation type="list" allowBlank="1" showInputMessage="1" showErrorMessage="1" sqref="H5" xr:uid="{FD68BCC1-9D00-406E-9983-F804FCA810A8}">
      <formula1>$A$81:$A$85</formula1>
    </dataValidation>
  </dataValidations>
  <hyperlinks>
    <hyperlink ref="C5" r:id="rId1" xr:uid="{6AF1E853-6AA6-458A-A78F-AD490BBAB32E}"/>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3672C5-B0AD-4209-B805-6581DD5A00E6}">
  <sheetPr codeName="Sheet94"/>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39</v>
      </c>
      <c r="C4" s="151"/>
      <c r="D4" s="38" t="s">
        <v>2</v>
      </c>
      <c r="E4" s="115">
        <f>IF(K30&gt;0,K30,"")</f>
        <v>1.85</v>
      </c>
      <c r="G4" s="133" t="s">
        <v>173</v>
      </c>
      <c r="H4" s="124"/>
      <c r="L4" s="139" t="s">
        <v>5</v>
      </c>
      <c r="M4" s="284" t="s">
        <v>466</v>
      </c>
      <c r="N4" s="260"/>
    </row>
    <row r="5" spans="1:14" ht="25" x14ac:dyDescent="0.25">
      <c r="A5" s="37" t="s">
        <v>96</v>
      </c>
      <c r="B5" s="18" t="s">
        <v>361</v>
      </c>
      <c r="C5" s="164" t="s">
        <v>362</v>
      </c>
      <c r="D5" s="38" t="s">
        <v>84</v>
      </c>
      <c r="E5" s="115">
        <f>IF(B9&gt;0,E4/B9,"")</f>
        <v>0.16072630915922767</v>
      </c>
      <c r="G5" s="122" t="s">
        <v>98</v>
      </c>
      <c r="H5" s="123" t="s">
        <v>149</v>
      </c>
    </row>
    <row r="6" spans="1:14" ht="13" thickBot="1" x14ac:dyDescent="0.3">
      <c r="A6" s="38" t="s">
        <v>97</v>
      </c>
      <c r="B6" s="19" t="s">
        <v>363</v>
      </c>
      <c r="C6" s="151"/>
      <c r="D6" s="116" t="s">
        <v>85</v>
      </c>
      <c r="E6" s="117">
        <f>IF(E4="","",IF(E4&gt;=Forside!$H$7,4,IF(E4&gt;=Forside!$H$8,3,IF(E4&gt;=Forside!$H$9,2,IF(E4&gt;0,1,"")))))</f>
        <v>4</v>
      </c>
      <c r="G6" s="38" t="s">
        <v>99</v>
      </c>
      <c r="H6" s="40">
        <v>13</v>
      </c>
    </row>
    <row r="7" spans="1:14" ht="13" thickBot="1" x14ac:dyDescent="0.3">
      <c r="A7" s="38" t="s">
        <v>77</v>
      </c>
      <c r="B7" s="19" t="s">
        <v>192</v>
      </c>
      <c r="C7" s="151"/>
      <c r="D7" s="27"/>
      <c r="E7" s="28"/>
      <c r="G7" s="17" t="s">
        <v>66</v>
      </c>
      <c r="H7" s="42">
        <v>70</v>
      </c>
    </row>
    <row r="8" spans="1:14" ht="13" x14ac:dyDescent="0.3">
      <c r="A8" s="38" t="s">
        <v>91</v>
      </c>
      <c r="B8" s="14">
        <v>2.2999999999999998</v>
      </c>
      <c r="C8" s="2"/>
      <c r="D8" s="118" t="s">
        <v>87</v>
      </c>
      <c r="E8" s="114"/>
      <c r="G8" s="38" t="s">
        <v>100</v>
      </c>
      <c r="H8" s="14">
        <v>64</v>
      </c>
    </row>
    <row r="9" spans="1:14" ht="13" thickBot="1" x14ac:dyDescent="0.3">
      <c r="A9" s="125" t="s">
        <v>6</v>
      </c>
      <c r="B9" s="20">
        <f>J55/1000000</f>
        <v>11.510249999999999</v>
      </c>
      <c r="C9" s="2"/>
      <c r="D9" s="38" t="s">
        <v>112</v>
      </c>
      <c r="E9" s="119">
        <f>K16</f>
        <v>0.5</v>
      </c>
      <c r="G9" s="38" t="s">
        <v>101</v>
      </c>
      <c r="H9" s="14">
        <v>74</v>
      </c>
    </row>
    <row r="10" spans="1:14" x14ac:dyDescent="0.25">
      <c r="C10" s="36"/>
      <c r="D10" s="38" t="s">
        <v>123</v>
      </c>
      <c r="E10" s="120">
        <f>K22</f>
        <v>0.30000000000000004</v>
      </c>
      <c r="G10" s="38" t="s">
        <v>102</v>
      </c>
      <c r="H10" s="14">
        <v>1</v>
      </c>
    </row>
    <row r="11" spans="1:14" ht="24.75" customHeight="1" thickBot="1" x14ac:dyDescent="0.3">
      <c r="C11" s="36"/>
      <c r="D11" s="116" t="s">
        <v>130</v>
      </c>
      <c r="E11" s="121">
        <f>K26</f>
        <v>1.05</v>
      </c>
    </row>
    <row r="12" spans="1:14" ht="13.5" thickBot="1" x14ac:dyDescent="0.3">
      <c r="A12" s="135" t="s">
        <v>17</v>
      </c>
      <c r="B12" s="105"/>
      <c r="C12" s="17"/>
      <c r="D12" s="17"/>
      <c r="E12"/>
    </row>
    <row r="13" spans="1:14" ht="13" x14ac:dyDescent="0.25">
      <c r="A13" s="261" t="s">
        <v>364</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365</v>
      </c>
      <c r="B19" s="268"/>
      <c r="C19" s="112"/>
      <c r="D19" s="112"/>
      <c r="E19" s="39"/>
      <c r="G19" s="41" t="s">
        <v>66</v>
      </c>
      <c r="H19" s="104">
        <f>IF(H7="","",H7)</f>
        <v>70</v>
      </c>
      <c r="I19" s="85">
        <f>Forside!E7</f>
        <v>0.05</v>
      </c>
      <c r="J19" s="64">
        <f>IF(H19=A69,B69,IF(H19=A70,B70,IF(H19=A71,B71,IF(H19=A72,B72,IF(H19=A73,B73,IF(H19=A74,B74,IF(H19=A75,B75,IF(H19=A76,B76,IF(H19=A77,B77,IF(H19=A78,B78,""))))))))))</f>
        <v>3</v>
      </c>
      <c r="K19" s="65">
        <f t="shared" si="0"/>
        <v>0.15000000000000002</v>
      </c>
    </row>
    <row r="20" spans="1:11" ht="15.75" customHeight="1" thickBot="1" x14ac:dyDescent="0.3">
      <c r="A20" s="269"/>
      <c r="B20" s="270"/>
      <c r="C20" s="112"/>
      <c r="D20" s="112"/>
      <c r="E20" s="39"/>
      <c r="G20" s="41" t="s">
        <v>89</v>
      </c>
      <c r="H20" s="104">
        <f>IF(H9="","",H9)</f>
        <v>74</v>
      </c>
      <c r="I20" s="85">
        <f>Forside!E8</f>
        <v>0.05</v>
      </c>
      <c r="J20" s="66">
        <f>IF(H20="","",IF(H19="","",IF(H20&lt;=H19,0,IF(H20&lt;H19*1.05,1,IF(H20&lt;H19*1.1,2,IF(H20&lt;H19*1.15,3,IF(H20&gt;=H19*1.15,4,"")))))))</f>
        <v>2</v>
      </c>
      <c r="K20" s="65">
        <f t="shared" si="0"/>
        <v>0.1</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IF(J21="","",J21*I21)</f>
        <v>0.1</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296</v>
      </c>
      <c r="B26" s="155" t="s">
        <v>184</v>
      </c>
      <c r="C26" s="155">
        <v>6</v>
      </c>
      <c r="D26" s="156">
        <v>0</v>
      </c>
      <c r="E26" s="39"/>
      <c r="G26" s="57" t="s">
        <v>130</v>
      </c>
      <c r="H26" s="58"/>
      <c r="I26" s="59">
        <f>Forside!E14</f>
        <v>0.5</v>
      </c>
      <c r="J26" s="58"/>
      <c r="K26" s="60">
        <f>IF(J27="","",SUM(K27:K29))</f>
        <v>1.05</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63</v>
      </c>
      <c r="I28" s="85">
        <f>Forside!E16</f>
        <v>0.05</v>
      </c>
      <c r="J28" s="128">
        <f>IF(H28=A128,B128,IF(H28=A129,B129,(IF(H28=A130,B130,(IF(H28=A131,B131,(IF(H28=A132,B132,""))))))))</f>
        <v>4</v>
      </c>
      <c r="K28" s="131">
        <f t="shared" si="0"/>
        <v>0.2</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1.85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452</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2300</v>
      </c>
      <c r="I46" s="141">
        <f>Enhedspriser!C3</f>
        <v>3750</v>
      </c>
      <c r="J46" s="145">
        <f>H46*I46</f>
        <v>8625000</v>
      </c>
      <c r="L46" s="250" t="s">
        <v>172</v>
      </c>
      <c r="M46" s="251"/>
      <c r="N46" s="252"/>
    </row>
    <row r="47" spans="6:14" ht="12.75" customHeight="1" x14ac:dyDescent="0.3">
      <c r="G47" s="140" t="s">
        <v>366</v>
      </c>
      <c r="H47" s="141">
        <v>150</v>
      </c>
      <c r="I47" s="141">
        <v>15000</v>
      </c>
      <c r="J47" s="145">
        <f>H47*I47</f>
        <v>2250000</v>
      </c>
      <c r="L47" s="250"/>
      <c r="M47" s="251"/>
      <c r="N47" s="252"/>
    </row>
    <row r="48" spans="6:14" ht="13" x14ac:dyDescent="0.3">
      <c r="G48" s="140" t="s">
        <v>165</v>
      </c>
      <c r="H48" s="141">
        <v>1</v>
      </c>
      <c r="I48" s="141">
        <f>Enhedspriser!C5</f>
        <v>300000</v>
      </c>
      <c r="J48" s="145">
        <f t="shared" ref="J48:J53" si="1">H48*I48</f>
        <v>300000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335250</v>
      </c>
    </row>
    <row r="55" spans="1:17" ht="27.75" customHeight="1" thickBot="1" x14ac:dyDescent="0.35">
      <c r="G55" s="149" t="s">
        <v>175</v>
      </c>
      <c r="H55" s="150"/>
      <c r="I55" s="150"/>
      <c r="J55" s="146">
        <f>SUM(J46:J54)</f>
        <v>11510250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2E0842FC-465E-4B9A-9490-28D0A0A82669}">
      <formula1>$A$113:$A$117</formula1>
    </dataValidation>
    <dataValidation type="list" allowBlank="1" showInputMessage="1" showErrorMessage="1" sqref="H25" xr:uid="{8ED71F33-4261-4B55-930E-25A845B92AE3}">
      <formula1>$A$97:$A$102</formula1>
    </dataValidation>
    <dataValidation type="list" allowBlank="1" showInputMessage="1" showErrorMessage="1" sqref="H21" xr:uid="{B13EB86B-4FF1-4E11-AC02-36B827E33509}">
      <formula1>$A$106:$A$110</formula1>
    </dataValidation>
    <dataValidation type="list" allowBlank="1" showInputMessage="1" showErrorMessage="1" sqref="H28" xr:uid="{82D0590B-AF0A-424F-9E36-99EAEA3C4FFB}">
      <formula1>$A$128:$A$132</formula1>
    </dataValidation>
    <dataValidation type="list" allowBlank="1" showInputMessage="1" showErrorMessage="1" sqref="H24" xr:uid="{B81C1FD0-29CC-41DC-8172-99FB087D7D0D}">
      <formula1>$A$137:$A$141</formula1>
    </dataValidation>
    <dataValidation type="list" allowBlank="1" showInputMessage="1" showErrorMessage="1" sqref="H29" xr:uid="{DC0287E1-AC5B-4580-84FF-A6838380FDA3}">
      <formula1>$A$120:$A$124</formula1>
    </dataValidation>
    <dataValidation type="list" allowBlank="1" showInputMessage="1" showErrorMessage="1" sqref="H7" xr:uid="{CF757BF2-8A42-48D7-A5A6-458A03857576}">
      <formula1>$A$69:$A$78</formula1>
    </dataValidation>
    <dataValidation type="list" allowBlank="1" showInputMessage="1" showErrorMessage="1" sqref="H23" xr:uid="{6415600D-714F-41D0-98BD-655F7E425DC3}">
      <formula1>$A$88:$A$92</formula1>
    </dataValidation>
    <dataValidation type="list" allowBlank="1" showInputMessage="1" showErrorMessage="1" sqref="H5" xr:uid="{9685FFAF-4FD1-4B0F-BC0A-428DA918B400}">
      <formula1>$A$81:$A$85</formula1>
    </dataValidation>
  </dataValidations>
  <hyperlinks>
    <hyperlink ref="C5" r:id="rId1" xr:uid="{CC693C80-BDED-468B-935A-D6EC5B74DCCF}"/>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EEC925-DF15-4769-8656-0617064D107C}">
  <sheetPr codeName="Ark1"/>
  <dimension ref="A1:C12"/>
  <sheetViews>
    <sheetView workbookViewId="0">
      <selection activeCell="C9" sqref="C9"/>
    </sheetView>
  </sheetViews>
  <sheetFormatPr defaultRowHeight="12.5" x14ac:dyDescent="0.25"/>
  <cols>
    <col min="1" max="1" width="34.7265625" customWidth="1"/>
  </cols>
  <sheetData>
    <row r="1" spans="1:3" ht="13" x14ac:dyDescent="0.3">
      <c r="A1" s="16" t="s">
        <v>158</v>
      </c>
      <c r="B1" s="16" t="s">
        <v>159</v>
      </c>
      <c r="C1" s="16" t="s">
        <v>160</v>
      </c>
    </row>
    <row r="2" spans="1:3" x14ac:dyDescent="0.25">
      <c r="A2" s="17" t="s">
        <v>161</v>
      </c>
      <c r="B2" s="17" t="s">
        <v>162</v>
      </c>
      <c r="C2">
        <v>5000</v>
      </c>
    </row>
    <row r="3" spans="1:3" x14ac:dyDescent="0.25">
      <c r="A3" s="17" t="s">
        <v>163</v>
      </c>
      <c r="B3" s="17" t="s">
        <v>162</v>
      </c>
      <c r="C3">
        <v>3750</v>
      </c>
    </row>
    <row r="4" spans="1:3" x14ac:dyDescent="0.25">
      <c r="A4" s="17" t="s">
        <v>164</v>
      </c>
      <c r="B4" s="17" t="s">
        <v>162</v>
      </c>
      <c r="C4">
        <v>6250</v>
      </c>
    </row>
    <row r="5" spans="1:3" x14ac:dyDescent="0.25">
      <c r="A5" s="17" t="s">
        <v>165</v>
      </c>
      <c r="B5" s="17" t="s">
        <v>166</v>
      </c>
      <c r="C5">
        <v>300000</v>
      </c>
    </row>
    <row r="6" spans="1:3" x14ac:dyDescent="0.25">
      <c r="A6" s="17" t="s">
        <v>167</v>
      </c>
      <c r="B6" s="17" t="s">
        <v>168</v>
      </c>
      <c r="C6">
        <v>50000</v>
      </c>
    </row>
    <row r="7" spans="1:3" x14ac:dyDescent="0.25">
      <c r="A7" s="17" t="s">
        <v>169</v>
      </c>
      <c r="B7" s="17" t="s">
        <v>168</v>
      </c>
      <c r="C7">
        <v>300000</v>
      </c>
    </row>
    <row r="9" spans="1:3" x14ac:dyDescent="0.25">
      <c r="A9" s="17" t="s">
        <v>170</v>
      </c>
      <c r="C9">
        <f>0.03</f>
        <v>0.03</v>
      </c>
    </row>
    <row r="11" spans="1:3" x14ac:dyDescent="0.25">
      <c r="A11" s="17" t="s">
        <v>171</v>
      </c>
    </row>
    <row r="12" spans="1:3" x14ac:dyDescent="0.25">
      <c r="A12" s="17" t="s">
        <v>172</v>
      </c>
    </row>
  </sheetData>
  <pageMargins left="0.7" right="0.7" top="0.75" bottom="0.75" header="0.3" footer="0.3"/>
  <pageSetup paperSize="256" orientation="portrait" horizontalDpi="1200" verticalDpi="1200" r:id="rId1"/>
  <headerFooter>
    <oddFooter>&amp;L&amp;08C:\Users\mjbp\Downloads\stiprioriteringsmodel_20250811.xlsm
Sheet: &amp;A</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F26621-41A7-4B7D-AC91-8F22DA62095D}">
  <sheetPr codeName="Sheet96"/>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41</v>
      </c>
      <c r="C4" s="151"/>
      <c r="D4" s="38" t="s">
        <v>2</v>
      </c>
      <c r="E4" s="115">
        <f>IF(K30&gt;0,K30,"")</f>
        <v>1.4000000000000001</v>
      </c>
      <c r="G4" s="133" t="s">
        <v>173</v>
      </c>
      <c r="H4" s="124"/>
      <c r="L4" s="139" t="s">
        <v>5</v>
      </c>
      <c r="M4" s="284" t="s">
        <v>466</v>
      </c>
      <c r="N4" s="260"/>
    </row>
    <row r="5" spans="1:14" ht="25" x14ac:dyDescent="0.25">
      <c r="A5" s="37" t="s">
        <v>96</v>
      </c>
      <c r="B5" s="18" t="s">
        <v>367</v>
      </c>
      <c r="C5" s="164" t="s">
        <v>368</v>
      </c>
      <c r="D5" s="38" t="s">
        <v>84</v>
      </c>
      <c r="E5" s="115">
        <f>IF(B9&gt;0,E4/B9,"")</f>
        <v>0.36245954692556637</v>
      </c>
      <c r="G5" s="122" t="s">
        <v>98</v>
      </c>
      <c r="H5" s="123" t="s">
        <v>149</v>
      </c>
    </row>
    <row r="6" spans="1:14" ht="13" thickBot="1" x14ac:dyDescent="0.3">
      <c r="A6" s="38" t="s">
        <v>97</v>
      </c>
      <c r="B6" s="19" t="s">
        <v>369</v>
      </c>
      <c r="C6" s="151"/>
      <c r="D6" s="116" t="s">
        <v>85</v>
      </c>
      <c r="E6" s="117">
        <f>IF(E4="","",IF(E4&gt;=Forside!$H$7,4,IF(E4&gt;=Forside!$H$8,3,IF(E4&gt;=Forside!$H$9,2,IF(E4&gt;0,1,"")))))</f>
        <v>3</v>
      </c>
      <c r="G6" s="38" t="s">
        <v>99</v>
      </c>
      <c r="H6" s="40">
        <v>10</v>
      </c>
      <c r="I6" s="1" t="s">
        <v>182</v>
      </c>
    </row>
    <row r="7" spans="1:14" ht="13" thickBot="1" x14ac:dyDescent="0.3">
      <c r="A7" s="38" t="s">
        <v>77</v>
      </c>
      <c r="B7" s="19" t="s">
        <v>192</v>
      </c>
      <c r="C7" s="151"/>
      <c r="D7" s="27"/>
      <c r="E7" s="28"/>
      <c r="G7" s="17" t="s">
        <v>66</v>
      </c>
      <c r="H7" s="42">
        <v>60</v>
      </c>
    </row>
    <row r="8" spans="1:14" ht="13" x14ac:dyDescent="0.3">
      <c r="A8" s="38" t="s">
        <v>91</v>
      </c>
      <c r="B8" s="14">
        <v>1</v>
      </c>
      <c r="C8" s="2"/>
      <c r="D8" s="118" t="s">
        <v>87</v>
      </c>
      <c r="E8" s="114"/>
      <c r="G8" s="38" t="s">
        <v>100</v>
      </c>
      <c r="H8" s="14">
        <v>55</v>
      </c>
      <c r="I8" s="1" t="s">
        <v>182</v>
      </c>
    </row>
    <row r="9" spans="1:14" ht="13" thickBot="1" x14ac:dyDescent="0.3">
      <c r="A9" s="125" t="s">
        <v>6</v>
      </c>
      <c r="B9" s="20">
        <f>J55/1000000</f>
        <v>3.8624999999999998</v>
      </c>
      <c r="C9" s="2"/>
      <c r="D9" s="38" t="s">
        <v>112</v>
      </c>
      <c r="E9" s="119">
        <f>K16</f>
        <v>0.39999999999999997</v>
      </c>
      <c r="G9" s="38" t="s">
        <v>101</v>
      </c>
      <c r="H9" s="14">
        <v>65</v>
      </c>
      <c r="I9" s="1" t="s">
        <v>182</v>
      </c>
    </row>
    <row r="10" spans="1:14" x14ac:dyDescent="0.25">
      <c r="C10" s="36"/>
      <c r="D10" s="38" t="s">
        <v>123</v>
      </c>
      <c r="E10" s="120">
        <f>K22</f>
        <v>0.4</v>
      </c>
      <c r="G10" s="38" t="s">
        <v>102</v>
      </c>
      <c r="H10" s="14">
        <v>1</v>
      </c>
    </row>
    <row r="11" spans="1:14" ht="24.75" customHeight="1" thickBot="1" x14ac:dyDescent="0.3">
      <c r="C11" s="36"/>
      <c r="D11" s="116" t="s">
        <v>130</v>
      </c>
      <c r="E11" s="121">
        <f>K26</f>
        <v>0.60000000000000009</v>
      </c>
    </row>
    <row r="12" spans="1:14" ht="13.5" thickBot="1" x14ac:dyDescent="0.3">
      <c r="A12" s="135" t="s">
        <v>17</v>
      </c>
      <c r="B12" s="105"/>
      <c r="C12" s="17"/>
      <c r="D12" s="17"/>
      <c r="E12"/>
    </row>
    <row r="13" spans="1:14" ht="13" x14ac:dyDescent="0.25">
      <c r="A13" s="261" t="s">
        <v>370</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0.39999999999999997</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371</v>
      </c>
      <c r="B19" s="268"/>
      <c r="C19" s="112"/>
      <c r="D19" s="112"/>
      <c r="E19" s="39"/>
      <c r="G19" s="41" t="s">
        <v>66</v>
      </c>
      <c r="H19" s="104">
        <f>IF(H7="","",H7)</f>
        <v>60</v>
      </c>
      <c r="I19" s="85">
        <f>Forside!E7</f>
        <v>0.05</v>
      </c>
      <c r="J19" s="64">
        <f>IF(H19=A69,B69,IF(H19=A70,B70,IF(H19=A71,B71,IF(H19=A72,B72,IF(H19=A73,B73,IF(H19=A74,B74,IF(H19=A75,B75,IF(H19=A76,B76,IF(H19=A77,B77,IF(H19=A78,B78,""))))))))))</f>
        <v>2</v>
      </c>
      <c r="K19" s="65">
        <f t="shared" si="0"/>
        <v>0.1</v>
      </c>
    </row>
    <row r="20" spans="1:11" ht="15.75" customHeight="1" thickBot="1" x14ac:dyDescent="0.3">
      <c r="A20" s="269"/>
      <c r="B20" s="270"/>
      <c r="C20" s="112"/>
      <c r="D20" s="112"/>
      <c r="E20" s="39"/>
      <c r="G20" s="41" t="s">
        <v>89</v>
      </c>
      <c r="H20" s="104">
        <f>IF(H9="","",H9)</f>
        <v>65</v>
      </c>
      <c r="I20" s="85">
        <f>Forside!E8</f>
        <v>0.05</v>
      </c>
      <c r="J20" s="66">
        <f>IF(H20="","",IF(H19="","",IF(H20&lt;=H19,0,IF(H20&lt;H19*1.05,1,IF(H20&lt;H19*1.1,2,IF(H20&lt;H19*1.15,3,IF(H20&gt;=H19*1.15,4,"")))))))</f>
        <v>2</v>
      </c>
      <c r="K20" s="65">
        <f t="shared" si="0"/>
        <v>0.1</v>
      </c>
    </row>
    <row r="21" spans="1:11" ht="16.5" thickBot="1" x14ac:dyDescent="0.3">
      <c r="A21" s="269"/>
      <c r="B21" s="270"/>
      <c r="C21" s="112"/>
      <c r="D21" s="112"/>
      <c r="E21" s="39"/>
      <c r="G21" s="101" t="s">
        <v>122</v>
      </c>
      <c r="H21" s="67" t="s">
        <v>58</v>
      </c>
      <c r="I21" s="85">
        <f>Forside!E9</f>
        <v>0.05</v>
      </c>
      <c r="J21" s="64">
        <f>IF(H21=A106,B106,IF(H21=A107,B107,(IF(H21=A108,B108,(IF(H21=A109,B109,(IF(H21=A110,B110,""))))))))</f>
        <v>1</v>
      </c>
      <c r="K21" s="65">
        <f t="shared" si="0"/>
        <v>0.05</v>
      </c>
    </row>
    <row r="22" spans="1:11" ht="16.5" thickBot="1" x14ac:dyDescent="0.35">
      <c r="A22" s="269"/>
      <c r="B22" s="270"/>
      <c r="C22" s="112"/>
      <c r="D22" s="112"/>
      <c r="E22" s="39"/>
      <c r="G22" s="57" t="s">
        <v>123</v>
      </c>
      <c r="H22" s="68"/>
      <c r="I22" s="59">
        <f>Forside!E10</f>
        <v>0.25</v>
      </c>
      <c r="J22" s="68"/>
      <c r="K22" s="69">
        <f>IF(J23="","",SUM(K23:K25))</f>
        <v>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55</v>
      </c>
      <c r="I25" s="85">
        <f>Forside!E13</f>
        <v>0.05</v>
      </c>
      <c r="J25" s="77">
        <f>IF(H25=A102,B102,IF(H25=A101,B101,IF(H25=A100,B100,IF(H25=A99,B99,IF(H25=A98,B98,"")))))</f>
        <v>2</v>
      </c>
      <c r="K25" s="78">
        <f t="shared" si="0"/>
        <v>0.1</v>
      </c>
    </row>
    <row r="26" spans="1:11" ht="16.5" thickBot="1" x14ac:dyDescent="0.35">
      <c r="A26" s="154" t="s">
        <v>184</v>
      </c>
      <c r="B26" s="155" t="s">
        <v>184</v>
      </c>
      <c r="C26" s="155">
        <v>0</v>
      </c>
      <c r="D26" s="156">
        <v>0</v>
      </c>
      <c r="E26" s="39"/>
      <c r="G26" s="57" t="s">
        <v>130</v>
      </c>
      <c r="H26" s="58"/>
      <c r="I26" s="59">
        <f>Forside!E14</f>
        <v>0.5</v>
      </c>
      <c r="J26" s="58"/>
      <c r="K26" s="60">
        <f>IF(J27="","",SUM(K27:K29))</f>
        <v>0.60000000000000009</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1.4000000000000001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453</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1000</v>
      </c>
      <c r="I46" s="141">
        <f>Enhedspriser!C3</f>
        <v>3750</v>
      </c>
      <c r="J46" s="145">
        <f>H46*I46</f>
        <v>3750000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112500</v>
      </c>
    </row>
    <row r="55" spans="1:17" ht="27.75" customHeight="1" thickBot="1" x14ac:dyDescent="0.35">
      <c r="G55" s="149" t="s">
        <v>175</v>
      </c>
      <c r="H55" s="150"/>
      <c r="I55" s="150"/>
      <c r="J55" s="146">
        <f>SUM(J46:J54)</f>
        <v>3862500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2BFF4EE6-2856-4812-8B88-8CBCB4D4A537}">
      <formula1>$A$113:$A$117</formula1>
    </dataValidation>
    <dataValidation type="list" allowBlank="1" showInputMessage="1" showErrorMessage="1" sqref="H25" xr:uid="{C9728319-8ACE-4581-A2FC-01F4D89B0DD5}">
      <formula1>$A$97:$A$102</formula1>
    </dataValidation>
    <dataValidation type="list" allowBlank="1" showInputMessage="1" showErrorMessage="1" sqref="H21" xr:uid="{3050A9A3-5F30-4816-B9D8-0F872AC1D095}">
      <formula1>$A$106:$A$110</formula1>
    </dataValidation>
    <dataValidation type="list" allowBlank="1" showInputMessage="1" showErrorMessage="1" sqref="H28" xr:uid="{B4E1BF92-530E-4B8E-A899-85438917669D}">
      <formula1>$A$128:$A$132</formula1>
    </dataValidation>
    <dataValidation type="list" allowBlank="1" showInputMessage="1" showErrorMessage="1" sqref="H24" xr:uid="{5B4D1C98-4D60-40C5-BA5D-8C7B9D0A4F41}">
      <formula1>$A$137:$A$141</formula1>
    </dataValidation>
    <dataValidation type="list" allowBlank="1" showInputMessage="1" showErrorMessage="1" sqref="H29" xr:uid="{B7D82368-93B8-4514-AEF6-35EF98ABE8C1}">
      <formula1>$A$120:$A$124</formula1>
    </dataValidation>
    <dataValidation type="list" allowBlank="1" showInputMessage="1" showErrorMessage="1" sqref="H7" xr:uid="{0834E02E-180C-4DB4-8810-785C14F3BCBF}">
      <formula1>$A$69:$A$78</formula1>
    </dataValidation>
    <dataValidation type="list" allowBlank="1" showInputMessage="1" showErrorMessage="1" sqref="H23" xr:uid="{45A728F5-D800-4219-89D1-28F4B929C112}">
      <formula1>$A$88:$A$92</formula1>
    </dataValidation>
    <dataValidation type="list" allowBlank="1" showInputMessage="1" showErrorMessage="1" sqref="H5" xr:uid="{E43F0396-8838-4922-8F7F-80C15BEA3E30}">
      <formula1>$A$81:$A$85</formula1>
    </dataValidation>
  </dataValidations>
  <hyperlinks>
    <hyperlink ref="C5" r:id="rId1" xr:uid="{06351E9D-6F6E-4F8B-887A-BECF0D40A874}"/>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41955-343B-4A5A-A017-60E1DE52641E}">
  <sheetPr codeName="Sheet97"/>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42</v>
      </c>
      <c r="C4" s="151"/>
      <c r="D4" s="38" t="s">
        <v>2</v>
      </c>
      <c r="E4" s="115">
        <f>IF(K30&gt;0,K30,"")</f>
        <v>1.1000000000000001</v>
      </c>
      <c r="G4" s="133" t="s">
        <v>173</v>
      </c>
      <c r="H4" s="124"/>
      <c r="L4" s="139" t="s">
        <v>5</v>
      </c>
      <c r="M4" s="284" t="s">
        <v>466</v>
      </c>
      <c r="N4" s="260"/>
    </row>
    <row r="5" spans="1:14" x14ac:dyDescent="0.25">
      <c r="A5" s="37" t="s">
        <v>96</v>
      </c>
      <c r="B5" s="18" t="s">
        <v>372</v>
      </c>
      <c r="C5" s="152"/>
      <c r="D5" s="38" t="s">
        <v>84</v>
      </c>
      <c r="E5" s="115">
        <f>IF(B9&gt;0,E4/B9,"")</f>
        <v>0.59331175836030203</v>
      </c>
      <c r="G5" s="122" t="s">
        <v>98</v>
      </c>
      <c r="H5" s="123" t="s">
        <v>149</v>
      </c>
      <c r="I5" s="5" t="s">
        <v>182</v>
      </c>
    </row>
    <row r="6" spans="1:14" ht="25.5" thickBot="1" x14ac:dyDescent="0.3">
      <c r="A6" s="38" t="s">
        <v>97</v>
      </c>
      <c r="B6" s="19" t="s">
        <v>373</v>
      </c>
      <c r="C6" s="161" t="s">
        <v>374</v>
      </c>
      <c r="D6" s="116" t="s">
        <v>85</v>
      </c>
      <c r="E6" s="117">
        <f>IF(E4="","",IF(E4&gt;=Forside!$H$7,4,IF(E4&gt;=Forside!$H$8,3,IF(E4&gt;=Forside!$H$9,2,IF(E4&gt;0,1,"")))))</f>
        <v>2</v>
      </c>
      <c r="G6" s="38" t="s">
        <v>99</v>
      </c>
      <c r="H6" s="40">
        <v>25</v>
      </c>
    </row>
    <row r="7" spans="1:14" ht="13" thickBot="1" x14ac:dyDescent="0.3">
      <c r="A7" s="38" t="s">
        <v>77</v>
      </c>
      <c r="B7" s="19" t="s">
        <v>202</v>
      </c>
      <c r="C7" s="151"/>
      <c r="D7" s="27"/>
      <c r="E7" s="28"/>
      <c r="G7" s="17" t="s">
        <v>66</v>
      </c>
      <c r="H7" s="42">
        <v>40</v>
      </c>
    </row>
    <row r="8" spans="1:14" ht="13" x14ac:dyDescent="0.3">
      <c r="A8" s="38" t="s">
        <v>91</v>
      </c>
      <c r="B8" s="14">
        <v>0.35</v>
      </c>
      <c r="C8" s="2"/>
      <c r="D8" s="118" t="s">
        <v>87</v>
      </c>
      <c r="E8" s="114"/>
      <c r="G8" s="38" t="s">
        <v>100</v>
      </c>
      <c r="H8" s="14">
        <v>35</v>
      </c>
      <c r="I8" s="1" t="s">
        <v>182</v>
      </c>
    </row>
    <row r="9" spans="1:14" ht="13" thickBot="1" x14ac:dyDescent="0.3">
      <c r="A9" s="125" t="s">
        <v>6</v>
      </c>
      <c r="B9" s="20">
        <f>J55/1000000</f>
        <v>1.8540000000000001</v>
      </c>
      <c r="C9" s="2"/>
      <c r="D9" s="38" t="s">
        <v>112</v>
      </c>
      <c r="E9" s="119">
        <f>K16</f>
        <v>0.2</v>
      </c>
      <c r="G9" s="38" t="s">
        <v>101</v>
      </c>
      <c r="H9" s="14">
        <v>40</v>
      </c>
      <c r="I9" s="1" t="s">
        <v>182</v>
      </c>
    </row>
    <row r="10" spans="1:14" x14ac:dyDescent="0.25">
      <c r="C10" s="36"/>
      <c r="D10" s="38" t="s">
        <v>123</v>
      </c>
      <c r="E10" s="120">
        <f>K22</f>
        <v>0.5</v>
      </c>
      <c r="G10" s="38" t="s">
        <v>102</v>
      </c>
      <c r="H10" s="14">
        <v>0</v>
      </c>
    </row>
    <row r="11" spans="1:14" ht="24.75" customHeight="1" thickBot="1" x14ac:dyDescent="0.3">
      <c r="C11" s="36"/>
      <c r="D11" s="116" t="s">
        <v>130</v>
      </c>
      <c r="E11" s="121">
        <f>K26</f>
        <v>0.4</v>
      </c>
    </row>
    <row r="12" spans="1:14" ht="13.5" thickBot="1" x14ac:dyDescent="0.3">
      <c r="A12" s="135" t="s">
        <v>17</v>
      </c>
      <c r="B12" s="105"/>
      <c r="C12" s="17"/>
      <c r="D12" s="17"/>
      <c r="E12"/>
    </row>
    <row r="13" spans="1:14" ht="13" x14ac:dyDescent="0.25">
      <c r="A13" s="261" t="s">
        <v>375</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0.2</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t="s">
        <v>376</v>
      </c>
      <c r="B19" s="268"/>
      <c r="C19" s="112"/>
      <c r="D19" s="112"/>
      <c r="E19" s="39"/>
      <c r="G19" s="41" t="s">
        <v>66</v>
      </c>
      <c r="H19" s="104">
        <f>IF(H7="","",H7)</f>
        <v>40</v>
      </c>
      <c r="I19" s="85">
        <f>Forside!E7</f>
        <v>0.05</v>
      </c>
      <c r="J19" s="64">
        <f>IF(H19=A69,B69,IF(H19=A70,B70,IF(H19=A71,B71,IF(H19=A72,B72,IF(H19=A73,B73,IF(H19=A74,B74,IF(H19=A75,B75,IF(H19=A76,B76,IF(H19=A77,B77,IF(H19=A78,B78,""))))))))))</f>
        <v>0</v>
      </c>
      <c r="K19" s="65">
        <f t="shared" si="0"/>
        <v>0</v>
      </c>
    </row>
    <row r="20" spans="1:11" ht="15.75" customHeight="1" thickBot="1" x14ac:dyDescent="0.3">
      <c r="A20" s="269"/>
      <c r="B20" s="270"/>
      <c r="C20" s="112"/>
      <c r="D20" s="112"/>
      <c r="E20" s="39"/>
      <c r="G20" s="41" t="s">
        <v>89</v>
      </c>
      <c r="H20" s="104">
        <f>IF(H9="","",H9)</f>
        <v>40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0.5</v>
      </c>
    </row>
    <row r="23" spans="1:11" ht="25.5" thickBot="1" x14ac:dyDescent="0.35">
      <c r="A23" s="271"/>
      <c r="B23" s="272"/>
      <c r="C23" s="112"/>
      <c r="D23" s="112"/>
      <c r="G23" s="70" t="s">
        <v>77</v>
      </c>
      <c r="H23" s="71" t="s">
        <v>50</v>
      </c>
      <c r="I23" s="85">
        <f>Forside!E11</f>
        <v>0.1</v>
      </c>
      <c r="J23" s="72">
        <f>IF(H23=A88,B88,IF(H23=A89,B89,(IF(H23=A90,B90,(IF(H23=A91,B91,(IF(H23=A92,B92,""))))))))</f>
        <v>3</v>
      </c>
      <c r="K23" s="73">
        <f t="shared" si="0"/>
        <v>0.30000000000000004</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55</v>
      </c>
      <c r="I25" s="85">
        <f>Forside!E13</f>
        <v>0.05</v>
      </c>
      <c r="J25" s="77">
        <f>IF(H25=A102,B102,IF(H25=A101,B101,IF(H25=A100,B100,IF(H25=A99,B99,IF(H25=A98,B98,"")))))</f>
        <v>2</v>
      </c>
      <c r="K25" s="78">
        <f t="shared" si="0"/>
        <v>0.1</v>
      </c>
    </row>
    <row r="26" spans="1:11" ht="16.5" thickBot="1" x14ac:dyDescent="0.35">
      <c r="A26" s="154" t="s">
        <v>184</v>
      </c>
      <c r="B26" s="155" t="s">
        <v>12</v>
      </c>
      <c r="C26" s="155">
        <v>9</v>
      </c>
      <c r="D26" s="156">
        <v>0</v>
      </c>
      <c r="E26" s="39"/>
      <c r="G26" s="57" t="s">
        <v>130</v>
      </c>
      <c r="H26" s="58"/>
      <c r="I26" s="59">
        <f>Forside!E14</f>
        <v>0.5</v>
      </c>
      <c r="J26" s="58"/>
      <c r="K26" s="60">
        <f>IF(J27="","",SUM(K27:K29))</f>
        <v>0.4</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53</v>
      </c>
      <c r="I28" s="85">
        <f>Forside!E16</f>
        <v>0.05</v>
      </c>
      <c r="J28" s="128">
        <f>IF(H28=A128,B128,IF(H28=A129,B129,(IF(H28=A130,B130,(IF(H28=A131,B131,(IF(H28=A132,B132,""))))))))</f>
        <v>0</v>
      </c>
      <c r="K28" s="131">
        <f t="shared" si="0"/>
        <v>0</v>
      </c>
    </row>
    <row r="29" spans="1:11" ht="14.5" thickBot="1" x14ac:dyDescent="0.3">
      <c r="G29" s="41" t="s">
        <v>136</v>
      </c>
      <c r="H29" s="81" t="s">
        <v>155</v>
      </c>
      <c r="I29" s="85">
        <f>Forside!E17</f>
        <v>0.2</v>
      </c>
      <c r="J29" s="129">
        <f>IF(H29=A120,B120,IF(H29=A121,B121,(IF(H29=A122,B122,(IF(H29=A123,B123,(IF(H29=A124,B124,""))))))))</f>
        <v>2</v>
      </c>
      <c r="K29" s="131">
        <f t="shared" si="0"/>
        <v>0.4</v>
      </c>
    </row>
    <row r="30" spans="1:11" ht="14.5" thickBot="1" x14ac:dyDescent="0.35">
      <c r="G30" s="57" t="s">
        <v>3</v>
      </c>
      <c r="H30" s="82"/>
      <c r="I30" s="83"/>
      <c r="J30" s="84"/>
      <c r="K30" s="132">
        <f>IF(Forside!E18="100%",IF(ISNUMBER(K16*K22*K26),K16+K22+K26,""),"Forkert vægtning")</f>
        <v>1.1000000000000001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454</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202</v>
      </c>
      <c r="H46" s="141">
        <v>350</v>
      </c>
      <c r="I46" s="141">
        <f>Enhedspriser!C2</f>
        <v>5000</v>
      </c>
      <c r="J46" s="145">
        <f>H46*I46</f>
        <v>1750000</v>
      </c>
      <c r="L46" s="250" t="s">
        <v>172</v>
      </c>
      <c r="M46" s="251"/>
      <c r="N46" s="252"/>
    </row>
    <row r="47" spans="6:14" ht="12.75" customHeight="1" x14ac:dyDescent="0.3">
      <c r="G47" s="140" t="s">
        <v>377</v>
      </c>
      <c r="H47" s="141">
        <v>1</v>
      </c>
      <c r="I47" s="141">
        <v>50000</v>
      </c>
      <c r="J47" s="145">
        <f>H47*I47</f>
        <v>50000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54000</v>
      </c>
    </row>
    <row r="55" spans="1:17" ht="27.75" customHeight="1" thickBot="1" x14ac:dyDescent="0.35">
      <c r="G55" s="149" t="s">
        <v>175</v>
      </c>
      <c r="H55" s="150"/>
      <c r="I55" s="150"/>
      <c r="J55" s="146">
        <f>SUM(J46:J54)</f>
        <v>1854000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2869C422-3C24-44C0-B4D8-E5FFB8E7B222}">
      <formula1>$A$113:$A$117</formula1>
    </dataValidation>
    <dataValidation type="list" allowBlank="1" showInputMessage="1" showErrorMessage="1" sqref="H25" xr:uid="{5852B904-D28F-4E78-90AD-DD174E70AFE6}">
      <formula1>$A$97:$A$102</formula1>
    </dataValidation>
    <dataValidation type="list" allowBlank="1" showInputMessage="1" showErrorMessage="1" sqref="H21" xr:uid="{3F26C27A-869E-4C4B-A3E1-A61CFAF84E31}">
      <formula1>$A$106:$A$110</formula1>
    </dataValidation>
    <dataValidation type="list" allowBlank="1" showInputMessage="1" showErrorMessage="1" sqref="H28" xr:uid="{7257AE34-308D-4330-ACFF-E22BB95D0138}">
      <formula1>$A$128:$A$132</formula1>
    </dataValidation>
    <dataValidation type="list" allowBlank="1" showInputMessage="1" showErrorMessage="1" sqref="H24" xr:uid="{8CA7DCF1-FB37-4541-AF69-5A16B126E331}">
      <formula1>$A$137:$A$141</formula1>
    </dataValidation>
    <dataValidation type="list" allowBlank="1" showInputMessage="1" showErrorMessage="1" sqref="H29" xr:uid="{59B21559-319A-45AF-954A-E2EBA37B0B99}">
      <formula1>$A$120:$A$124</formula1>
    </dataValidation>
    <dataValidation type="list" allowBlank="1" showInputMessage="1" showErrorMessage="1" sqref="H7" xr:uid="{F0ED8706-86F2-40F4-B229-480BB4554BD5}">
      <formula1>$A$69:$A$78</formula1>
    </dataValidation>
    <dataValidation type="list" allowBlank="1" showInputMessage="1" showErrorMessage="1" sqref="H23" xr:uid="{CD5FFA9D-AA21-4986-ACD4-DA9FACC3AB38}">
      <formula1>$A$88:$A$92</formula1>
    </dataValidation>
    <dataValidation type="list" allowBlank="1" showInputMessage="1" showErrorMessage="1" sqref="H5" xr:uid="{5C231D76-046D-46CC-BACA-04C680549215}">
      <formula1>$A$81:$A$85</formula1>
    </dataValidation>
  </dataValidations>
  <hyperlinks>
    <hyperlink ref="C6" r:id="rId1" xr:uid="{155DD8DE-9CE2-4CDB-8201-8D1620AC47D2}"/>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21B503-BA13-4FEF-AE0B-921D309E309D}">
  <sheetPr codeName="Sheet98"/>
  <dimension ref="A1:Q174"/>
  <sheetViews>
    <sheetView view="pageLayout" topLeftCell="A14"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43</v>
      </c>
      <c r="C4" s="151"/>
      <c r="D4" s="38" t="s">
        <v>2</v>
      </c>
      <c r="E4" s="115">
        <f>IF(K30&gt;0,K30,"")</f>
        <v>0.75000000000000011</v>
      </c>
      <c r="G4" s="133" t="s">
        <v>173</v>
      </c>
      <c r="H4" s="124"/>
      <c r="L4" s="139" t="s">
        <v>5</v>
      </c>
      <c r="M4" s="284" t="s">
        <v>466</v>
      </c>
      <c r="N4" s="260"/>
    </row>
    <row r="5" spans="1:14" x14ac:dyDescent="0.25">
      <c r="A5" s="37" t="s">
        <v>96</v>
      </c>
      <c r="B5" s="18" t="s">
        <v>378</v>
      </c>
      <c r="C5" s="152"/>
      <c r="D5" s="38" t="s">
        <v>84</v>
      </c>
      <c r="E5" s="115">
        <f>IF(B9&gt;0,E4/B9,"")</f>
        <v>0.4515692029803568</v>
      </c>
      <c r="G5" s="122" t="s">
        <v>98</v>
      </c>
      <c r="H5" s="123" t="s">
        <v>148</v>
      </c>
      <c r="I5" s="1">
        <v>800</v>
      </c>
    </row>
    <row r="6" spans="1:14" ht="25.5" thickBot="1" x14ac:dyDescent="0.3">
      <c r="A6" s="38" t="s">
        <v>97</v>
      </c>
      <c r="B6" s="19" t="s">
        <v>379</v>
      </c>
      <c r="C6" s="161" t="s">
        <v>380</v>
      </c>
      <c r="D6" s="116" t="s">
        <v>85</v>
      </c>
      <c r="E6" s="117">
        <f>IF(E4="","",IF(E4&gt;=Forside!$H$7,4,IF(E4&gt;=Forside!$H$8,3,IF(E4&gt;=Forside!$H$9,2,IF(E4&gt;0,1,"")))))</f>
        <v>2</v>
      </c>
      <c r="G6" s="38" t="s">
        <v>99</v>
      </c>
      <c r="H6" s="40">
        <v>10</v>
      </c>
      <c r="I6" s="1" t="s">
        <v>182</v>
      </c>
    </row>
    <row r="7" spans="1:14" ht="13" thickBot="1" x14ac:dyDescent="0.3">
      <c r="A7" s="38" t="s">
        <v>77</v>
      </c>
      <c r="B7" s="19" t="s">
        <v>192</v>
      </c>
      <c r="C7" s="151"/>
      <c r="D7" s="27"/>
      <c r="E7" s="28"/>
      <c r="G7" s="17" t="s">
        <v>66</v>
      </c>
      <c r="H7" s="42">
        <v>60</v>
      </c>
    </row>
    <row r="8" spans="1:14" ht="13" x14ac:dyDescent="0.3">
      <c r="A8" s="38" t="s">
        <v>91</v>
      </c>
      <c r="B8" s="14">
        <v>0.35</v>
      </c>
      <c r="C8" s="2"/>
      <c r="D8" s="118" t="s">
        <v>87</v>
      </c>
      <c r="E8" s="114"/>
      <c r="G8" s="38" t="s">
        <v>100</v>
      </c>
      <c r="H8" s="14">
        <v>60</v>
      </c>
      <c r="I8" s="1" t="s">
        <v>182</v>
      </c>
    </row>
    <row r="9" spans="1:14" ht="13" thickBot="1" x14ac:dyDescent="0.3">
      <c r="A9" s="125" t="s">
        <v>6</v>
      </c>
      <c r="B9" s="20">
        <f>J55/1000000</f>
        <v>1.6608750000000001</v>
      </c>
      <c r="C9" s="2"/>
      <c r="D9" s="38" t="s">
        <v>112</v>
      </c>
      <c r="E9" s="119">
        <f>K16</f>
        <v>0.45000000000000007</v>
      </c>
      <c r="G9" s="38" t="s">
        <v>101</v>
      </c>
      <c r="H9" s="14">
        <v>70</v>
      </c>
      <c r="I9" s="1" t="s">
        <v>182</v>
      </c>
    </row>
    <row r="10" spans="1:14" x14ac:dyDescent="0.25">
      <c r="C10" s="36"/>
      <c r="D10" s="38" t="s">
        <v>123</v>
      </c>
      <c r="E10" s="120">
        <f>K22</f>
        <v>0.2</v>
      </c>
      <c r="G10" s="38" t="s">
        <v>102</v>
      </c>
      <c r="H10" s="14">
        <v>0</v>
      </c>
    </row>
    <row r="11" spans="1:14" ht="24.75" customHeight="1" thickBot="1" x14ac:dyDescent="0.3">
      <c r="C11" s="36"/>
      <c r="D11" s="116" t="s">
        <v>130</v>
      </c>
      <c r="E11" s="121">
        <f>K26</f>
        <v>0.1</v>
      </c>
    </row>
    <row r="12" spans="1:14" ht="13.5" thickBot="1" x14ac:dyDescent="0.3">
      <c r="A12" s="135" t="s">
        <v>17</v>
      </c>
      <c r="B12" s="105"/>
      <c r="C12" s="17"/>
      <c r="D12" s="17"/>
      <c r="E12"/>
    </row>
    <row r="13" spans="1:14" ht="13" x14ac:dyDescent="0.25">
      <c r="A13" s="261" t="s">
        <v>381</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0.45000000000000007</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382</v>
      </c>
      <c r="B19" s="268"/>
      <c r="C19" s="112"/>
      <c r="D19" s="112"/>
      <c r="E19" s="39"/>
      <c r="G19" s="41" t="s">
        <v>66</v>
      </c>
      <c r="H19" s="104">
        <f>IF(H7="","",H7)</f>
        <v>60</v>
      </c>
      <c r="I19" s="85">
        <f>Forside!E7</f>
        <v>0.05</v>
      </c>
      <c r="J19" s="64">
        <f>IF(H19=A69,B69,IF(H19=A70,B70,IF(H19=A71,B71,IF(H19=A72,B72,IF(H19=A73,B73,IF(H19=A74,B74,IF(H19=A75,B75,IF(H19=A76,B76,IF(H19=A77,B77,IF(H19=A78,B78,""))))))))))</f>
        <v>2</v>
      </c>
      <c r="K19" s="65">
        <f t="shared" si="0"/>
        <v>0.1</v>
      </c>
    </row>
    <row r="20" spans="1:11" ht="15.75" customHeight="1" thickBot="1" x14ac:dyDescent="0.3">
      <c r="A20" s="269"/>
      <c r="B20" s="270"/>
      <c r="C20" s="112"/>
      <c r="D20" s="112"/>
      <c r="E20" s="39"/>
      <c r="G20" s="41" t="s">
        <v>89</v>
      </c>
      <c r="H20" s="104">
        <f>IF(H9="","",H9)</f>
        <v>70</v>
      </c>
      <c r="I20" s="85">
        <f>Forside!E8</f>
        <v>0.05</v>
      </c>
      <c r="J20" s="66">
        <f>IF(H20="","",IF(H19="","",IF(H20&lt;=H19,0,IF(H20&lt;H19*1.05,1,IF(H20&lt;H19*1.1,2,IF(H20&lt;H19*1.15,3,IF(H20&gt;=H19*1.15,4,"")))))))</f>
        <v>4</v>
      </c>
      <c r="K20" s="65">
        <f t="shared" si="0"/>
        <v>0.2</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10" t="s">
        <v>184</v>
      </c>
      <c r="B26" s="47" t="s">
        <v>184</v>
      </c>
      <c r="C26" s="47"/>
      <c r="D26" s="48"/>
      <c r="E26" s="39"/>
      <c r="G26" s="57" t="s">
        <v>130</v>
      </c>
      <c r="H26" s="58"/>
      <c r="I26" s="59">
        <f>Forside!E14</f>
        <v>0.5</v>
      </c>
      <c r="J26" s="58"/>
      <c r="K26" s="60">
        <f>IF(J27="","",SUM(K27:K29))</f>
        <v>0.1</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0.75000000000000011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455</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350</v>
      </c>
      <c r="I46" s="141">
        <f>Enhedspriser!C3</f>
        <v>3750</v>
      </c>
      <c r="J46" s="145">
        <f>H46*I46</f>
        <v>1312500</v>
      </c>
      <c r="L46" s="250" t="s">
        <v>172</v>
      </c>
      <c r="M46" s="251"/>
      <c r="N46" s="252"/>
    </row>
    <row r="47" spans="6:14" ht="12.75" customHeight="1" x14ac:dyDescent="0.3">
      <c r="G47" s="140" t="s">
        <v>165</v>
      </c>
      <c r="H47" s="141">
        <v>1</v>
      </c>
      <c r="I47" s="141">
        <f>Enhedspriser!C5</f>
        <v>300000</v>
      </c>
      <c r="J47" s="145">
        <f>H47*I47</f>
        <v>300000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48375</v>
      </c>
    </row>
    <row r="55" spans="1:17" ht="27.75" customHeight="1" thickBot="1" x14ac:dyDescent="0.35">
      <c r="G55" s="149" t="s">
        <v>175</v>
      </c>
      <c r="H55" s="150"/>
      <c r="I55" s="150"/>
      <c r="J55" s="146">
        <f>SUM(J46:J54)</f>
        <v>1660875</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A3CD3916-AEAD-4E12-B698-2A1414DED594}">
      <formula1>$A$113:$A$117</formula1>
    </dataValidation>
    <dataValidation type="list" allowBlank="1" showInputMessage="1" showErrorMessage="1" sqref="H25" xr:uid="{A0DB90C8-7936-4835-AAE5-2C56EE5A936C}">
      <formula1>$A$97:$A$102</formula1>
    </dataValidation>
    <dataValidation type="list" allowBlank="1" showInputMessage="1" showErrorMessage="1" sqref="H21" xr:uid="{A4D6C08D-DF43-4736-A7F0-A176F5684135}">
      <formula1>$A$106:$A$110</formula1>
    </dataValidation>
    <dataValidation type="list" allowBlank="1" showInputMessage="1" showErrorMessage="1" sqref="H28" xr:uid="{44AFD051-2E18-4AD4-B8B6-C99EBA6BC053}">
      <formula1>$A$128:$A$132</formula1>
    </dataValidation>
    <dataValidation type="list" allowBlank="1" showInputMessage="1" showErrorMessage="1" sqref="H24" xr:uid="{B78FB788-37F6-4B62-916F-D2AF43796C42}">
      <formula1>$A$137:$A$141</formula1>
    </dataValidation>
    <dataValidation type="list" allowBlank="1" showInputMessage="1" showErrorMessage="1" sqref="H29" xr:uid="{6DE35579-A1FD-4427-9D71-988F64E3A9DC}">
      <formula1>$A$120:$A$124</formula1>
    </dataValidation>
    <dataValidation type="list" allowBlank="1" showInputMessage="1" showErrorMessage="1" sqref="H7" xr:uid="{3DC78E11-F707-41B8-9445-F5F575E443A0}">
      <formula1>$A$69:$A$78</formula1>
    </dataValidation>
    <dataValidation type="list" allowBlank="1" showInputMessage="1" showErrorMessage="1" sqref="H23" xr:uid="{94A02542-3AC9-4549-A211-BBFA15050183}">
      <formula1>$A$88:$A$92</formula1>
    </dataValidation>
    <dataValidation type="list" allowBlank="1" showInputMessage="1" showErrorMessage="1" sqref="H5" xr:uid="{E2B73072-2DF2-4A89-91AC-BE621801FAC9}">
      <formula1>$A$81:$A$85</formula1>
    </dataValidation>
  </dataValidations>
  <hyperlinks>
    <hyperlink ref="C6" r:id="rId1" xr:uid="{0BDAB5B2-9259-4DEB-884D-392B93A070C5}"/>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3B9338-1A2A-4D58-8AF0-184F0E268920}">
  <sheetPr codeName="Sheet99"/>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44</v>
      </c>
      <c r="C4" s="151"/>
      <c r="D4" s="38" t="s">
        <v>2</v>
      </c>
      <c r="E4" s="115">
        <f>IF(K30&gt;0,K30,"")</f>
        <v>2.5</v>
      </c>
      <c r="G4" s="133" t="s">
        <v>173</v>
      </c>
      <c r="H4" s="124"/>
      <c r="L4" s="139" t="s">
        <v>5</v>
      </c>
      <c r="M4" s="284" t="s">
        <v>466</v>
      </c>
      <c r="N4" s="260"/>
    </row>
    <row r="5" spans="1:14" ht="25" x14ac:dyDescent="0.25">
      <c r="A5" s="37" t="s">
        <v>96</v>
      </c>
      <c r="B5" s="18" t="s">
        <v>383</v>
      </c>
      <c r="C5" s="164" t="s">
        <v>384</v>
      </c>
      <c r="D5" s="38" t="s">
        <v>84</v>
      </c>
      <c r="E5" s="115" t="str">
        <f>IF(B9&gt;0,E4/B9,"")</f>
        <v/>
      </c>
      <c r="G5" s="122" t="s">
        <v>98</v>
      </c>
      <c r="H5" s="123" t="s">
        <v>139</v>
      </c>
      <c r="I5" s="158"/>
    </row>
    <row r="6" spans="1:14" ht="38" thickBot="1" x14ac:dyDescent="0.3">
      <c r="A6" s="38" t="s">
        <v>97</v>
      </c>
      <c r="B6" s="19" t="s">
        <v>385</v>
      </c>
      <c r="C6" s="151"/>
      <c r="D6" s="116" t="s">
        <v>85</v>
      </c>
      <c r="E6" s="117">
        <f>IF(E4="","",IF(E4&gt;=Forside!$H$7,4,IF(E4&gt;=Forside!$H$8,3,IF(E4&gt;=Forside!$H$9,2,IF(E4&gt;0,1,"")))))</f>
        <v>4</v>
      </c>
      <c r="G6" s="38" t="s">
        <v>99</v>
      </c>
      <c r="H6" s="40">
        <v>50</v>
      </c>
    </row>
    <row r="7" spans="1:14" ht="13" thickBot="1" x14ac:dyDescent="0.3">
      <c r="A7" s="38" t="s">
        <v>77</v>
      </c>
      <c r="B7" s="19" t="s">
        <v>202</v>
      </c>
      <c r="C7" s="151"/>
      <c r="D7" s="27"/>
      <c r="E7" s="28"/>
      <c r="G7" s="17" t="s">
        <v>66</v>
      </c>
      <c r="H7" s="42">
        <v>50</v>
      </c>
    </row>
    <row r="8" spans="1:14" ht="13" x14ac:dyDescent="0.3">
      <c r="A8" s="38" t="s">
        <v>91</v>
      </c>
      <c r="B8" s="14">
        <v>0.4</v>
      </c>
      <c r="C8" s="2"/>
      <c r="D8" s="118" t="s">
        <v>87</v>
      </c>
      <c r="E8" s="114"/>
      <c r="G8" s="38" t="s">
        <v>100</v>
      </c>
      <c r="H8" s="14">
        <v>40</v>
      </c>
      <c r="I8" s="1" t="s">
        <v>182</v>
      </c>
    </row>
    <row r="9" spans="1:14" ht="13" thickBot="1" x14ac:dyDescent="0.3">
      <c r="A9" s="125" t="s">
        <v>6</v>
      </c>
      <c r="B9" s="20">
        <f>J55/1000000</f>
        <v>0</v>
      </c>
      <c r="C9" s="2" t="s">
        <v>386</v>
      </c>
      <c r="D9" s="38" t="s">
        <v>112</v>
      </c>
      <c r="E9" s="119">
        <f>K16</f>
        <v>0.30000000000000004</v>
      </c>
      <c r="G9" s="38" t="s">
        <v>101</v>
      </c>
      <c r="H9" s="14">
        <v>50</v>
      </c>
      <c r="I9" s="1" t="s">
        <v>182</v>
      </c>
    </row>
    <row r="10" spans="1:14" x14ac:dyDescent="0.25">
      <c r="C10" s="36"/>
      <c r="D10" s="38" t="s">
        <v>123</v>
      </c>
      <c r="E10" s="120">
        <f>K22</f>
        <v>0.70000000000000007</v>
      </c>
      <c r="G10" s="38" t="s">
        <v>102</v>
      </c>
      <c r="H10" s="14">
        <v>0</v>
      </c>
    </row>
    <row r="11" spans="1:14" ht="24.75" customHeight="1" thickBot="1" x14ac:dyDescent="0.3">
      <c r="C11" s="36"/>
      <c r="D11" s="116" t="s">
        <v>130</v>
      </c>
      <c r="E11" s="121">
        <f>K26</f>
        <v>1.5</v>
      </c>
    </row>
    <row r="12" spans="1:14" ht="13.5" thickBot="1" x14ac:dyDescent="0.3">
      <c r="A12" s="135" t="s">
        <v>17</v>
      </c>
      <c r="B12" s="105"/>
      <c r="C12" s="17"/>
      <c r="D12" s="17"/>
      <c r="E12"/>
    </row>
    <row r="13" spans="1:14" ht="13" x14ac:dyDescent="0.25">
      <c r="A13" s="261" t="s">
        <v>387</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0.30000000000000004</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2500-4999</v>
      </c>
      <c r="I18" s="85">
        <f>Forside!E6</f>
        <v>0.05</v>
      </c>
      <c r="J18" s="64">
        <f>IF(H18="","",IF(H18="&lt;250",0,IF(H18="250-999",1,IF(H18="1000-2499",2,IF(H18="2500-4999",3,IF(H18="&gt;=5000",4,""))))))</f>
        <v>3</v>
      </c>
      <c r="K18" s="65">
        <f t="shared" si="0"/>
        <v>0.15000000000000002</v>
      </c>
    </row>
    <row r="19" spans="1:11" ht="15.75" customHeight="1" thickBot="1" x14ac:dyDescent="0.3">
      <c r="A19" s="261" t="s">
        <v>388</v>
      </c>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50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0.70000000000000007</v>
      </c>
    </row>
    <row r="23" spans="1:11" ht="25.5" thickBot="1" x14ac:dyDescent="0.35">
      <c r="A23" s="271"/>
      <c r="B23" s="272"/>
      <c r="C23" s="112"/>
      <c r="D23" s="112"/>
      <c r="G23" s="70" t="s">
        <v>77</v>
      </c>
      <c r="H23" s="71" t="s">
        <v>50</v>
      </c>
      <c r="I23" s="85">
        <f>Forside!E11</f>
        <v>0.1</v>
      </c>
      <c r="J23" s="72">
        <f>IF(H23=A88,B88,IF(H23=A89,B89,(IF(H23=A90,B90,(IF(H23=A91,B91,(IF(H23=A92,B92,""))))))))</f>
        <v>3</v>
      </c>
      <c r="K23" s="73">
        <f t="shared" si="0"/>
        <v>0.30000000000000004</v>
      </c>
    </row>
    <row r="24" spans="1:11" ht="16.5" thickBot="1" x14ac:dyDescent="0.35">
      <c r="A24" s="5"/>
      <c r="B24" s="5"/>
      <c r="C24" s="5"/>
      <c r="D24" s="5"/>
      <c r="E24" s="39"/>
      <c r="G24" s="70" t="s">
        <v>140</v>
      </c>
      <c r="H24" s="74" t="s">
        <v>80</v>
      </c>
      <c r="I24" s="85">
        <f>Forside!E12</f>
        <v>0.1</v>
      </c>
      <c r="J24" s="64">
        <f>IF(H24=A137,B137,IF(H24=A138,B138,(IF(H24=A139,B139,(IF(H24=A140,B140,(IF(H24=A141,B141,""))))))))</f>
        <v>3</v>
      </c>
      <c r="K24" s="65">
        <f t="shared" si="0"/>
        <v>0.30000000000000004</v>
      </c>
    </row>
    <row r="25" spans="1:11" ht="16.5" thickBot="1" x14ac:dyDescent="0.35">
      <c r="A25" s="49" t="s">
        <v>92</v>
      </c>
      <c r="B25" s="51" t="s">
        <v>93</v>
      </c>
      <c r="C25" s="51" t="s">
        <v>94</v>
      </c>
      <c r="D25" s="50" t="s">
        <v>95</v>
      </c>
      <c r="E25" s="39"/>
      <c r="G25" s="75" t="s">
        <v>104</v>
      </c>
      <c r="H25" s="76" t="s">
        <v>55</v>
      </c>
      <c r="I25" s="85">
        <f>Forside!E13</f>
        <v>0.05</v>
      </c>
      <c r="J25" s="77">
        <f>IF(H25=A102,B102,IF(H25=A101,B101,IF(H25=A100,B100,IF(H25=A99,B99,IF(H25=A98,B98,"")))))</f>
        <v>2</v>
      </c>
      <c r="K25" s="78">
        <f t="shared" si="0"/>
        <v>0.1</v>
      </c>
    </row>
    <row r="26" spans="1:11" ht="16.5" thickBot="1" x14ac:dyDescent="0.35">
      <c r="A26" s="154" t="s">
        <v>184</v>
      </c>
      <c r="B26" s="155" t="s">
        <v>184</v>
      </c>
      <c r="C26" s="155">
        <v>0</v>
      </c>
      <c r="D26" s="156">
        <v>2</v>
      </c>
      <c r="E26" s="39"/>
      <c r="G26" s="57" t="s">
        <v>130</v>
      </c>
      <c r="H26" s="58"/>
      <c r="I26" s="59">
        <f>Forside!E14</f>
        <v>0.5</v>
      </c>
      <c r="J26" s="58"/>
      <c r="K26" s="60">
        <f>IF(J27="","",SUM(K27:K29))</f>
        <v>1.5</v>
      </c>
    </row>
    <row r="27" spans="1:11" ht="16.5" thickBot="1" x14ac:dyDescent="0.35">
      <c r="E27" s="39"/>
      <c r="G27" s="79" t="s">
        <v>141</v>
      </c>
      <c r="H27" s="80" t="s">
        <v>110</v>
      </c>
      <c r="I27" s="85">
        <f>Forside!E15</f>
        <v>0.25</v>
      </c>
      <c r="J27" s="127">
        <f>IF(H27=A113,B113,IF(H27=A114,B114,(IF(H27=A115,B115,(IF(H27=A116,B116,(IF(H27=A117,B117,""))))))))</f>
        <v>2</v>
      </c>
      <c r="K27" s="130">
        <f t="shared" si="0"/>
        <v>0.5</v>
      </c>
    </row>
    <row r="28" spans="1:11" ht="14.5" thickBot="1" x14ac:dyDescent="0.3">
      <c r="G28" s="41" t="s">
        <v>62</v>
      </c>
      <c r="H28" s="74" t="s">
        <v>63</v>
      </c>
      <c r="I28" s="85">
        <f>Forside!E16</f>
        <v>0.05</v>
      </c>
      <c r="J28" s="128">
        <f>IF(H28=A128,B128,IF(H28=A129,B129,(IF(H28=A130,B130,(IF(H28=A131,B131,(IF(H28=A132,B132,""))))))))</f>
        <v>4</v>
      </c>
      <c r="K28" s="131">
        <f t="shared" si="0"/>
        <v>0.2</v>
      </c>
    </row>
    <row r="29" spans="1:11" ht="38" thickBot="1" x14ac:dyDescent="0.3">
      <c r="G29" s="41" t="s">
        <v>136</v>
      </c>
      <c r="H29" s="81" t="s">
        <v>142</v>
      </c>
      <c r="I29" s="85">
        <f>Forside!E17</f>
        <v>0.2</v>
      </c>
      <c r="J29" s="129">
        <f>IF(H29=A120,B120,IF(H29=A121,B121,(IF(H29=A122,B122,(IF(H29=A123,B123,(IF(H29=A124,B124,""))))))))</f>
        <v>4</v>
      </c>
      <c r="K29" s="131">
        <f t="shared" si="0"/>
        <v>0.8</v>
      </c>
    </row>
    <row r="30" spans="1:11" ht="14.5" thickBot="1" x14ac:dyDescent="0.35">
      <c r="A30" s="5" t="s">
        <v>457</v>
      </c>
      <c r="G30" s="57" t="s">
        <v>3</v>
      </c>
      <c r="H30" s="82"/>
      <c r="I30" s="83"/>
      <c r="J30" s="84"/>
      <c r="K30" s="132">
        <f>IF(Forside!E18="100%",IF(ISNUMBER(K16*K22*K26),K16+K22+K26,""),"Forkert vægtning")</f>
        <v>2.5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456</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c r="H46" s="141"/>
      <c r="I46" s="141"/>
      <c r="J46" s="145">
        <f>H46*I46</f>
        <v>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0</v>
      </c>
    </row>
    <row r="55" spans="1:17" ht="27.75" customHeight="1" thickBot="1" x14ac:dyDescent="0.35">
      <c r="G55" s="149" t="s">
        <v>175</v>
      </c>
      <c r="H55" s="150"/>
      <c r="I55" s="150"/>
      <c r="J55" s="146">
        <f>SUM(J46:J54)</f>
        <v>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1FA085C5-6161-4950-B961-5962E71A5D67}">
      <formula1>$A$113:$A$117</formula1>
    </dataValidation>
    <dataValidation type="list" allowBlank="1" showInputMessage="1" showErrorMessage="1" sqref="H25" xr:uid="{2BA641AD-2714-4461-AE41-FE5FDE13DE63}">
      <formula1>$A$97:$A$102</formula1>
    </dataValidation>
    <dataValidation type="list" allowBlank="1" showInputMessage="1" showErrorMessage="1" sqref="H21" xr:uid="{7A51AD2E-E75D-4767-9438-5BEE94B78194}">
      <formula1>$A$106:$A$110</formula1>
    </dataValidation>
    <dataValidation type="list" allowBlank="1" showInputMessage="1" showErrorMessage="1" sqref="H28" xr:uid="{C3929E61-432A-491B-B40A-4D98BDA2C0E6}">
      <formula1>$A$128:$A$132</formula1>
    </dataValidation>
    <dataValidation type="list" allowBlank="1" showInputMessage="1" showErrorMessage="1" sqref="H24" xr:uid="{3EB4D242-921F-46E7-A5CF-4FB9CBD814C8}">
      <formula1>$A$137:$A$141</formula1>
    </dataValidation>
    <dataValidation type="list" allowBlank="1" showInputMessage="1" showErrorMessage="1" sqref="H29" xr:uid="{15AF5CFA-7DBD-456C-A56C-5032D598B0D1}">
      <formula1>$A$120:$A$124</formula1>
    </dataValidation>
    <dataValidation type="list" allowBlank="1" showInputMessage="1" showErrorMessage="1" sqref="H7" xr:uid="{5E427B6E-D787-4F71-89BD-D388038D36A9}">
      <formula1>$A$69:$A$78</formula1>
    </dataValidation>
    <dataValidation type="list" allowBlank="1" showInputMessage="1" showErrorMessage="1" sqref="H23" xr:uid="{CB206867-6995-4D95-B455-17ADFD66C6D5}">
      <formula1>$A$88:$A$92</formula1>
    </dataValidation>
    <dataValidation type="list" allowBlank="1" showInputMessage="1" showErrorMessage="1" sqref="H5" xr:uid="{AD1E6F01-AE00-4C00-98A0-98D2AB38FF41}">
      <formula1>$A$81:$A$85</formula1>
    </dataValidation>
  </dataValidations>
  <hyperlinks>
    <hyperlink ref="C5" r:id="rId1" xr:uid="{1B0830F6-F2CD-4B74-8FA0-4C5FF5DAC172}"/>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legacyDrawingHF r:id="rId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B7FBF-8232-4F29-AE90-6A6BB885046A}">
  <sheetPr codeName="Sheet100"/>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45</v>
      </c>
      <c r="C4" s="151"/>
      <c r="D4" s="38" t="s">
        <v>2</v>
      </c>
      <c r="E4" s="115">
        <f>IF(K30&gt;0,K30,"")</f>
        <v>1.2000000000000002</v>
      </c>
      <c r="G4" s="133" t="s">
        <v>173</v>
      </c>
      <c r="H4" s="124"/>
      <c r="L4" s="139" t="s">
        <v>5</v>
      </c>
      <c r="M4" s="284" t="s">
        <v>466</v>
      </c>
      <c r="N4" s="260"/>
    </row>
    <row r="5" spans="1:14" ht="25" x14ac:dyDescent="0.25">
      <c r="A5" s="37" t="s">
        <v>96</v>
      </c>
      <c r="B5" s="18" t="s">
        <v>389</v>
      </c>
      <c r="C5" s="164" t="s">
        <v>390</v>
      </c>
      <c r="D5" s="38" t="s">
        <v>84</v>
      </c>
      <c r="E5" s="115">
        <f>IF(B9&gt;0,E4/B9,"")</f>
        <v>2.2641509433962268</v>
      </c>
      <c r="G5" s="122" t="s">
        <v>98</v>
      </c>
      <c r="H5" s="123" t="s">
        <v>148</v>
      </c>
    </row>
    <row r="6" spans="1:14" ht="13" thickBot="1" x14ac:dyDescent="0.3">
      <c r="A6" s="38" t="s">
        <v>97</v>
      </c>
      <c r="B6" s="19" t="s">
        <v>389</v>
      </c>
      <c r="C6" s="151"/>
      <c r="D6" s="116" t="s">
        <v>85</v>
      </c>
      <c r="E6" s="117">
        <f>IF(E4="","",IF(E4&gt;=Forside!$H$7,4,IF(E4&gt;=Forside!$H$8,3,IF(E4&gt;=Forside!$H$9,2,IF(E4&gt;0,1,"")))))</f>
        <v>2</v>
      </c>
      <c r="G6" s="38" t="s">
        <v>99</v>
      </c>
      <c r="H6" s="40">
        <v>20</v>
      </c>
    </row>
    <row r="7" spans="1:14" ht="13" thickBot="1" x14ac:dyDescent="0.3">
      <c r="A7" s="38" t="s">
        <v>77</v>
      </c>
      <c r="B7" s="19" t="s">
        <v>391</v>
      </c>
      <c r="C7" s="151"/>
      <c r="D7" s="27"/>
      <c r="E7" s="28"/>
      <c r="G7" s="17" t="s">
        <v>66</v>
      </c>
      <c r="H7" s="42">
        <v>50</v>
      </c>
    </row>
    <row r="8" spans="1:14" ht="13" x14ac:dyDescent="0.3">
      <c r="A8" s="38" t="s">
        <v>91</v>
      </c>
      <c r="B8" s="14">
        <v>0.65</v>
      </c>
      <c r="C8" s="2"/>
      <c r="D8" s="118" t="s">
        <v>87</v>
      </c>
      <c r="E8" s="114"/>
      <c r="G8" s="38" t="s">
        <v>100</v>
      </c>
      <c r="H8" s="14">
        <v>42</v>
      </c>
    </row>
    <row r="9" spans="1:14" ht="13" thickBot="1" x14ac:dyDescent="0.3">
      <c r="A9" s="125" t="s">
        <v>6</v>
      </c>
      <c r="B9" s="20">
        <f>J55/1000000</f>
        <v>0.53</v>
      </c>
      <c r="C9" s="2"/>
      <c r="D9" s="38" t="s">
        <v>112</v>
      </c>
      <c r="E9" s="119">
        <f>K16</f>
        <v>0.25</v>
      </c>
      <c r="G9" s="38" t="s">
        <v>101</v>
      </c>
      <c r="H9" s="14">
        <v>50</v>
      </c>
    </row>
    <row r="10" spans="1:14" x14ac:dyDescent="0.25">
      <c r="C10" s="36"/>
      <c r="D10" s="38" t="s">
        <v>123</v>
      </c>
      <c r="E10" s="120">
        <f>K22</f>
        <v>0.1</v>
      </c>
      <c r="G10" s="38" t="s">
        <v>102</v>
      </c>
      <c r="H10" s="14">
        <v>1</v>
      </c>
    </row>
    <row r="11" spans="1:14" ht="24.75" customHeight="1" thickBot="1" x14ac:dyDescent="0.3">
      <c r="C11" s="36"/>
      <c r="D11" s="116" t="s">
        <v>130</v>
      </c>
      <c r="E11" s="121">
        <f>K26</f>
        <v>0.85000000000000009</v>
      </c>
    </row>
    <row r="12" spans="1:14" ht="13.5" thickBot="1" x14ac:dyDescent="0.3">
      <c r="A12" s="135" t="s">
        <v>17</v>
      </c>
      <c r="B12" s="105"/>
      <c r="C12" s="17"/>
      <c r="D12" s="17"/>
      <c r="E12"/>
    </row>
    <row r="13" spans="1:14" ht="13" x14ac:dyDescent="0.25">
      <c r="A13" s="261" t="s">
        <v>392</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0.25</v>
      </c>
    </row>
    <row r="17" spans="1:11" ht="25.5" thickBot="1" x14ac:dyDescent="0.3">
      <c r="A17" s="5"/>
      <c r="B17" s="5"/>
      <c r="C17" s="5"/>
      <c r="D17" s="5"/>
      <c r="G17" s="61" t="s">
        <v>137</v>
      </c>
      <c r="H17" s="102">
        <f>IF(H10="","",H10)</f>
        <v>1</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50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0.1</v>
      </c>
    </row>
    <row r="23" spans="1:11" ht="38" thickBot="1" x14ac:dyDescent="0.35">
      <c r="A23" s="271"/>
      <c r="B23" s="272"/>
      <c r="C23" s="112"/>
      <c r="D23" s="112"/>
      <c r="G23" s="70" t="s">
        <v>77</v>
      </c>
      <c r="H23" s="71" t="s">
        <v>49</v>
      </c>
      <c r="I23" s="85">
        <f>Forside!E11</f>
        <v>0.1</v>
      </c>
      <c r="J23" s="72">
        <f>IF(H23=A88,B88,IF(H23=A89,B89,(IF(H23=A90,B90,(IF(H23=A91,B91,(IF(H23=A92,B92,""))))))))</f>
        <v>1</v>
      </c>
      <c r="K23" s="73">
        <f t="shared" si="0"/>
        <v>0.1</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53</v>
      </c>
      <c r="I25" s="85">
        <f>Forside!E13</f>
        <v>0.05</v>
      </c>
      <c r="J25" s="77">
        <f>IF(H25=A102,B102,IF(H25=A101,B101,IF(H25=A100,B100,IF(H25=A99,B99,IF(H25=A98,B98,"")))))</f>
        <v>0</v>
      </c>
      <c r="K25" s="78">
        <f t="shared" si="0"/>
        <v>0</v>
      </c>
    </row>
    <row r="26" spans="1:11" ht="16.5" thickBot="1" x14ac:dyDescent="0.35">
      <c r="A26" s="110" t="s">
        <v>12</v>
      </c>
      <c r="B26" s="47"/>
      <c r="C26" s="47"/>
      <c r="D26" s="48"/>
      <c r="E26" s="39"/>
      <c r="G26" s="57" t="s">
        <v>130</v>
      </c>
      <c r="H26" s="58"/>
      <c r="I26" s="59">
        <f>Forside!E14</f>
        <v>0.5</v>
      </c>
      <c r="J26" s="58"/>
      <c r="K26" s="60">
        <f>IF(J27="","",SUM(K27:K29))</f>
        <v>0.85000000000000009</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53</v>
      </c>
      <c r="I28" s="85">
        <f>Forside!E16</f>
        <v>0.05</v>
      </c>
      <c r="J28" s="128">
        <f>IF(H28=A128,B128,IF(H28=A129,B129,(IF(H28=A130,B130,(IF(H28=A131,B131,(IF(H28=A132,B132,""))))))))</f>
        <v>0</v>
      </c>
      <c r="K28" s="131">
        <f t="shared" si="0"/>
        <v>0</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1.2000000000000002</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458</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391</v>
      </c>
      <c r="H46" s="141">
        <v>1</v>
      </c>
      <c r="I46" s="141">
        <v>500000</v>
      </c>
      <c r="J46" s="145">
        <f>H46*I46</f>
        <v>500000</v>
      </c>
      <c r="K46" s="5" t="s">
        <v>224</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SUM(J46:J53)*Enhedspriser!$C$9*2</f>
        <v>30000</v>
      </c>
    </row>
    <row r="55" spans="1:17" ht="27.75" customHeight="1" thickBot="1" x14ac:dyDescent="0.35">
      <c r="G55" s="149" t="s">
        <v>175</v>
      </c>
      <c r="H55" s="150"/>
      <c r="I55" s="150"/>
      <c r="J55" s="146">
        <f>SUM(J46:J54)</f>
        <v>530000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E3C43E60-CD02-4642-A80C-87E0B9C86EF5}">
      <formula1>$A$113:$A$117</formula1>
    </dataValidation>
    <dataValidation type="list" allowBlank="1" showInputMessage="1" showErrorMessage="1" sqref="H25" xr:uid="{47DFD223-8A2D-47CD-A228-49BC8405F1B7}">
      <formula1>$A$97:$A$102</formula1>
    </dataValidation>
    <dataValidation type="list" allowBlank="1" showInputMessage="1" showErrorMessage="1" sqref="H21" xr:uid="{BFB904AB-15AC-46F1-BBDB-665492847643}">
      <formula1>$A$106:$A$110</formula1>
    </dataValidation>
    <dataValidation type="list" allowBlank="1" showInputMessage="1" showErrorMessage="1" sqref="H28" xr:uid="{65E37911-BF62-486D-AF2C-A3A3093B4E77}">
      <formula1>$A$128:$A$132</formula1>
    </dataValidation>
    <dataValidation type="list" allowBlank="1" showInputMessage="1" showErrorMessage="1" sqref="H24" xr:uid="{B93657E5-3360-49A2-BDEA-E6E996CF92FF}">
      <formula1>$A$137:$A$141</formula1>
    </dataValidation>
    <dataValidation type="list" allowBlank="1" showInputMessage="1" showErrorMessage="1" sqref="H29" xr:uid="{6B60613D-7BB2-4728-B498-380EB73BCE04}">
      <formula1>$A$120:$A$124</formula1>
    </dataValidation>
    <dataValidation type="list" allowBlank="1" showInputMessage="1" showErrorMessage="1" sqref="H7" xr:uid="{4180FBEC-1633-4F7D-B2DE-1EF009841F40}">
      <formula1>$A$69:$A$78</formula1>
    </dataValidation>
    <dataValidation type="list" allowBlank="1" showInputMessage="1" showErrorMessage="1" sqref="H23" xr:uid="{BE295894-0BB5-4216-AAEA-9DEF0BAE68DE}">
      <formula1>$A$88:$A$92</formula1>
    </dataValidation>
    <dataValidation type="list" allowBlank="1" showInputMessage="1" showErrorMessage="1" sqref="H5" xr:uid="{F7F88BF1-DE35-4686-B939-AED9FDA78DAC}">
      <formula1>$A$81:$A$85</formula1>
    </dataValidation>
  </dataValidations>
  <hyperlinks>
    <hyperlink ref="C5" r:id="rId1" xr:uid="{7141D350-4780-456F-8ECC-A5D2CA3841ED}"/>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1A16A1-16CA-4BF9-806C-13C55EFB803A}">
  <sheetPr codeName="Sheet101"/>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46</v>
      </c>
      <c r="C4" s="151"/>
      <c r="D4" s="38" t="s">
        <v>2</v>
      </c>
      <c r="E4" s="115">
        <f>IF(K30&gt;0,K30,"")</f>
        <v>1</v>
      </c>
      <c r="G4" s="133" t="s">
        <v>173</v>
      </c>
      <c r="H4" s="124"/>
      <c r="L4" s="139" t="s">
        <v>5</v>
      </c>
      <c r="M4" s="284" t="s">
        <v>466</v>
      </c>
      <c r="N4" s="260"/>
    </row>
    <row r="5" spans="1:14" ht="25" x14ac:dyDescent="0.25">
      <c r="A5" s="37" t="s">
        <v>96</v>
      </c>
      <c r="B5" s="18" t="s">
        <v>393</v>
      </c>
      <c r="C5" s="164" t="s">
        <v>394</v>
      </c>
      <c r="D5" s="38" t="s">
        <v>84</v>
      </c>
      <c r="E5" s="115">
        <f>IF(B9&gt;0,E4/B9,"")</f>
        <v>0.79255002972062616</v>
      </c>
      <c r="G5" s="122" t="s">
        <v>98</v>
      </c>
      <c r="H5" s="123" t="s">
        <v>148</v>
      </c>
      <c r="I5" s="158"/>
    </row>
    <row r="6" spans="1:14" ht="13" thickBot="1" x14ac:dyDescent="0.3">
      <c r="A6" s="38" t="s">
        <v>97</v>
      </c>
      <c r="B6" s="19" t="s">
        <v>395</v>
      </c>
      <c r="C6" s="151"/>
      <c r="D6" s="116" t="s">
        <v>85</v>
      </c>
      <c r="E6" s="117">
        <f>IF(E4="","",IF(E4&gt;=Forside!$H$7,4,IF(E4&gt;=Forside!$H$8,3,IF(E4&gt;=Forside!$H$9,2,IF(E4&gt;0,1,"")))))</f>
        <v>2</v>
      </c>
      <c r="G6" s="38" t="s">
        <v>99</v>
      </c>
      <c r="H6" s="40">
        <v>100</v>
      </c>
    </row>
    <row r="7" spans="1:14" ht="13" thickBot="1" x14ac:dyDescent="0.3">
      <c r="A7" s="38" t="s">
        <v>77</v>
      </c>
      <c r="B7" s="19" t="s">
        <v>396</v>
      </c>
      <c r="C7" s="151"/>
      <c r="D7" s="27"/>
      <c r="E7" s="28"/>
      <c r="G7" s="17" t="s">
        <v>66</v>
      </c>
      <c r="H7" s="42">
        <v>50</v>
      </c>
    </row>
    <row r="8" spans="1:14" ht="13" x14ac:dyDescent="0.3">
      <c r="A8" s="38" t="s">
        <v>91</v>
      </c>
      <c r="B8" s="14">
        <v>0.3</v>
      </c>
      <c r="C8" s="2"/>
      <c r="D8" s="118" t="s">
        <v>87</v>
      </c>
      <c r="E8" s="114"/>
      <c r="G8" s="38" t="s">
        <v>100</v>
      </c>
      <c r="H8" s="14">
        <v>45</v>
      </c>
    </row>
    <row r="9" spans="1:14" ht="13" thickBot="1" x14ac:dyDescent="0.3">
      <c r="A9" s="125" t="s">
        <v>6</v>
      </c>
      <c r="B9" s="20">
        <f>J55/1000000</f>
        <v>1.2617499999999999</v>
      </c>
      <c r="C9" s="2"/>
      <c r="D9" s="38" t="s">
        <v>112</v>
      </c>
      <c r="E9" s="119">
        <f>K16</f>
        <v>0.25</v>
      </c>
      <c r="G9" s="38" t="s">
        <v>101</v>
      </c>
      <c r="H9" s="14">
        <v>50</v>
      </c>
    </row>
    <row r="10" spans="1:14" x14ac:dyDescent="0.25">
      <c r="C10" s="36"/>
      <c r="D10" s="38" t="s">
        <v>123</v>
      </c>
      <c r="E10" s="120">
        <f>K22</f>
        <v>0.2</v>
      </c>
      <c r="G10" s="38" t="s">
        <v>102</v>
      </c>
      <c r="H10" s="14">
        <v>0</v>
      </c>
    </row>
    <row r="11" spans="1:14" ht="24.75" customHeight="1" thickBot="1" x14ac:dyDescent="0.3">
      <c r="C11" s="36"/>
      <c r="D11" s="116" t="s">
        <v>130</v>
      </c>
      <c r="E11" s="121">
        <f>K26</f>
        <v>0.55000000000000004</v>
      </c>
    </row>
    <row r="12" spans="1:14" ht="13.5" thickBot="1" x14ac:dyDescent="0.3">
      <c r="A12" s="135" t="s">
        <v>17</v>
      </c>
      <c r="B12" s="105"/>
      <c r="C12" s="17"/>
      <c r="D12" s="17"/>
      <c r="E12"/>
    </row>
    <row r="13" spans="1:14" ht="13" x14ac:dyDescent="0.25">
      <c r="A13" s="261" t="s">
        <v>397</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0.25</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398</v>
      </c>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50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53</v>
      </c>
      <c r="I25" s="85">
        <f>Forside!E13</f>
        <v>0.05</v>
      </c>
      <c r="J25" s="77">
        <f>IF(H25=A102,B102,IF(H25=A101,B101,IF(H25=A100,B100,IF(H25=A99,B99,IF(H25=A98,B98,"")))))</f>
        <v>0</v>
      </c>
      <c r="K25" s="78">
        <f t="shared" si="0"/>
        <v>0</v>
      </c>
    </row>
    <row r="26" spans="1:11" ht="16.5" thickBot="1" x14ac:dyDescent="0.35">
      <c r="A26" s="154" t="s">
        <v>12</v>
      </c>
      <c r="B26" s="155">
        <v>0</v>
      </c>
      <c r="C26" s="155">
        <v>0</v>
      </c>
      <c r="D26" s="156">
        <v>0</v>
      </c>
      <c r="E26" s="39"/>
      <c r="G26" s="57" t="s">
        <v>130</v>
      </c>
      <c r="H26" s="58"/>
      <c r="I26" s="59">
        <f>Forside!E14</f>
        <v>0.5</v>
      </c>
      <c r="J26" s="58"/>
      <c r="K26" s="60">
        <f>IF(J27="","",SUM(K27:K29))</f>
        <v>0.55000000000000004</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459</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396</v>
      </c>
      <c r="H46" s="141">
        <v>300</v>
      </c>
      <c r="I46" s="141">
        <f>Enhedspriser!C3</f>
        <v>3750</v>
      </c>
      <c r="J46" s="145">
        <f>H46*I46</f>
        <v>1125000</v>
      </c>
      <c r="K46" s="5" t="s">
        <v>182</v>
      </c>
      <c r="L46" s="250" t="s">
        <v>172</v>
      </c>
      <c r="M46" s="251"/>
      <c r="N46" s="252"/>
    </row>
    <row r="47" spans="6:14" ht="12.75" customHeight="1" x14ac:dyDescent="0.3">
      <c r="G47" s="140" t="s">
        <v>167</v>
      </c>
      <c r="H47" s="141">
        <v>2</v>
      </c>
      <c r="I47" s="141">
        <f>Enhedspriser!C6</f>
        <v>50000</v>
      </c>
      <c r="J47" s="145">
        <f>H47*I47</f>
        <v>100000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36750</v>
      </c>
    </row>
    <row r="55" spans="1:17" ht="27.75" customHeight="1" thickBot="1" x14ac:dyDescent="0.35">
      <c r="G55" s="149" t="s">
        <v>175</v>
      </c>
      <c r="H55" s="150"/>
      <c r="I55" s="150"/>
      <c r="J55" s="146">
        <f>SUM(J46:J54)</f>
        <v>1261750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990187CC-0D3D-4581-8501-DA6DB2317E67}">
      <formula1>$A$113:$A$117</formula1>
    </dataValidation>
    <dataValidation type="list" allowBlank="1" showInputMessage="1" showErrorMessage="1" sqref="H25" xr:uid="{68EEB6A9-F1D5-4C34-8B3D-F4CADD7FAF0A}">
      <formula1>$A$97:$A$102</formula1>
    </dataValidation>
    <dataValidation type="list" allowBlank="1" showInputMessage="1" showErrorMessage="1" sqref="H21" xr:uid="{D0E037D8-7E4E-4744-85A6-8F60319B7432}">
      <formula1>$A$106:$A$110</formula1>
    </dataValidation>
    <dataValidation type="list" allowBlank="1" showInputMessage="1" showErrorMessage="1" sqref="H28" xr:uid="{A8DD3F5A-2959-45C5-AF9E-CD6BE952570D}">
      <formula1>$A$128:$A$132</formula1>
    </dataValidation>
    <dataValidation type="list" allowBlank="1" showInputMessage="1" showErrorMessage="1" sqref="H24" xr:uid="{9A0C144E-ED3B-4456-8B06-0AE17C6FFAF3}">
      <formula1>$A$137:$A$141</formula1>
    </dataValidation>
    <dataValidation type="list" allowBlank="1" showInputMessage="1" showErrorMessage="1" sqref="H29" xr:uid="{137F0760-4185-4F89-9BA7-11F67D9BD9D0}">
      <formula1>$A$120:$A$124</formula1>
    </dataValidation>
    <dataValidation type="list" allowBlank="1" showInputMessage="1" showErrorMessage="1" sqref="H7" xr:uid="{4382C4DF-3AF7-47AE-A011-BDBB44439F27}">
      <formula1>$A$69:$A$78</formula1>
    </dataValidation>
    <dataValidation type="list" allowBlank="1" showInputMessage="1" showErrorMessage="1" sqref="H23" xr:uid="{BEE512B7-1101-415B-B4CD-50594AFC2BE4}">
      <formula1>$A$88:$A$92</formula1>
    </dataValidation>
    <dataValidation type="list" allowBlank="1" showInputMessage="1" showErrorMessage="1" sqref="H5" xr:uid="{8C152981-6DEC-429A-9D6A-2F9D7C228332}">
      <formula1>$A$81:$A$85</formula1>
    </dataValidation>
  </dataValidations>
  <hyperlinks>
    <hyperlink ref="C5" r:id="rId1" xr:uid="{8C83B0AE-BADB-410E-A81B-CBE68DB66D9C}"/>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24354E-0E55-4A99-95CA-607451FC0707}">
  <sheetPr codeName="Sheet103"/>
  <dimension ref="A1:Q174"/>
  <sheetViews>
    <sheetView view="pageLayout" topLeftCell="A2"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49</v>
      </c>
      <c r="C4" s="151"/>
      <c r="D4" s="38" t="s">
        <v>2</v>
      </c>
      <c r="E4" s="115">
        <f>IF(K30&gt;0,K30,"")</f>
        <v>0.8</v>
      </c>
      <c r="G4" s="133" t="s">
        <v>173</v>
      </c>
      <c r="H4" s="124"/>
      <c r="L4" s="139" t="s">
        <v>5</v>
      </c>
      <c r="M4" s="284" t="s">
        <v>466</v>
      </c>
      <c r="N4" s="260"/>
    </row>
    <row r="5" spans="1:14" ht="25" x14ac:dyDescent="0.25">
      <c r="A5" s="37" t="s">
        <v>96</v>
      </c>
      <c r="B5" s="18" t="s">
        <v>399</v>
      </c>
      <c r="C5" s="164" t="s">
        <v>400</v>
      </c>
      <c r="D5" s="38" t="s">
        <v>84</v>
      </c>
      <c r="E5" s="115">
        <f>IF(B9&gt;0,E4/B9,"")</f>
        <v>0.39830719442369927</v>
      </c>
      <c r="G5" s="122" t="s">
        <v>98</v>
      </c>
      <c r="H5" s="123" t="s">
        <v>148</v>
      </c>
      <c r="I5" s="1" t="s">
        <v>182</v>
      </c>
    </row>
    <row r="6" spans="1:14" ht="13" thickBot="1" x14ac:dyDescent="0.3">
      <c r="A6" s="38" t="s">
        <v>97</v>
      </c>
      <c r="B6" s="19" t="s">
        <v>399</v>
      </c>
      <c r="C6" s="151"/>
      <c r="D6" s="116" t="s">
        <v>85</v>
      </c>
      <c r="E6" s="117">
        <f>IF(E4="","",IF(E4&gt;=Forside!$H$7,4,IF(E4&gt;=Forside!$H$8,3,IF(E4&gt;=Forside!$H$9,2,IF(E4&gt;0,1,"")))))</f>
        <v>2</v>
      </c>
      <c r="G6" s="38" t="s">
        <v>99</v>
      </c>
      <c r="H6" s="40">
        <v>25</v>
      </c>
      <c r="I6" s="1" t="s">
        <v>182</v>
      </c>
    </row>
    <row r="7" spans="1:14" ht="13" thickBot="1" x14ac:dyDescent="0.3">
      <c r="A7" s="38" t="s">
        <v>77</v>
      </c>
      <c r="B7" s="19" t="s">
        <v>180</v>
      </c>
      <c r="C7" s="151"/>
      <c r="D7" s="27"/>
      <c r="E7" s="28"/>
      <c r="G7" s="17" t="s">
        <v>66</v>
      </c>
      <c r="H7" s="42">
        <v>50</v>
      </c>
    </row>
    <row r="8" spans="1:14" ht="13" x14ac:dyDescent="0.3">
      <c r="A8" s="38" t="s">
        <v>91</v>
      </c>
      <c r="B8" s="14">
        <v>0.52</v>
      </c>
      <c r="C8" s="2"/>
      <c r="D8" s="118" t="s">
        <v>87</v>
      </c>
      <c r="E8" s="114"/>
      <c r="G8" s="38" t="s">
        <v>100</v>
      </c>
      <c r="H8" s="14">
        <v>40</v>
      </c>
      <c r="I8" s="1" t="s">
        <v>182</v>
      </c>
    </row>
    <row r="9" spans="1:14" ht="13" thickBot="1" x14ac:dyDescent="0.3">
      <c r="A9" s="125" t="s">
        <v>6</v>
      </c>
      <c r="B9" s="20">
        <f>J55/1000000</f>
        <v>2.0085000000000002</v>
      </c>
      <c r="C9" s="2"/>
      <c r="D9" s="38" t="s">
        <v>112</v>
      </c>
      <c r="E9" s="119">
        <f>K16</f>
        <v>0.2</v>
      </c>
      <c r="G9" s="38" t="s">
        <v>101</v>
      </c>
      <c r="H9" s="14">
        <v>50</v>
      </c>
      <c r="I9" s="1" t="s">
        <v>182</v>
      </c>
    </row>
    <row r="10" spans="1:14" x14ac:dyDescent="0.25">
      <c r="C10" s="36"/>
      <c r="D10" s="38" t="s">
        <v>123</v>
      </c>
      <c r="E10" s="120">
        <f>K22</f>
        <v>0.30000000000000004</v>
      </c>
      <c r="G10" s="38" t="s">
        <v>102</v>
      </c>
      <c r="H10" s="14">
        <v>0</v>
      </c>
    </row>
    <row r="11" spans="1:14" ht="24.75" customHeight="1" thickBot="1" x14ac:dyDescent="0.3">
      <c r="C11" s="36"/>
      <c r="D11" s="116" t="s">
        <v>130</v>
      </c>
      <c r="E11" s="121">
        <f>K26</f>
        <v>0.30000000000000004</v>
      </c>
    </row>
    <row r="12" spans="1:14" ht="13.5" thickBot="1" x14ac:dyDescent="0.3">
      <c r="A12" s="135" t="s">
        <v>17</v>
      </c>
      <c r="B12" s="105"/>
      <c r="C12" s="17"/>
      <c r="D12" s="17"/>
      <c r="E12"/>
    </row>
    <row r="13" spans="1:14" ht="13" x14ac:dyDescent="0.25">
      <c r="A13" s="261" t="s">
        <v>401</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0.2</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402</v>
      </c>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50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3</v>
      </c>
      <c r="D26" s="156">
        <v>0</v>
      </c>
      <c r="E26" s="39"/>
      <c r="G26" s="57" t="s">
        <v>130</v>
      </c>
      <c r="H26" s="58"/>
      <c r="I26" s="59">
        <f>Forside!E14</f>
        <v>0.5</v>
      </c>
      <c r="J26" s="58"/>
      <c r="K26" s="60">
        <f>IF(J27="","",SUM(K27:K29))</f>
        <v>0.30000000000000004</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0.8</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454</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180</v>
      </c>
      <c r="H46" s="141">
        <v>520</v>
      </c>
      <c r="I46" s="141">
        <f>Enhedspriser!C3</f>
        <v>3750</v>
      </c>
      <c r="J46" s="145">
        <f>H46*I46</f>
        <v>1950000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58500</v>
      </c>
    </row>
    <row r="55" spans="1:17" ht="27.75" customHeight="1" thickBot="1" x14ac:dyDescent="0.35">
      <c r="G55" s="149" t="s">
        <v>175</v>
      </c>
      <c r="H55" s="150"/>
      <c r="I55" s="150"/>
      <c r="J55" s="146">
        <f>SUM(J46:J54)</f>
        <v>2008500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C35E01F9-B818-4517-B211-6F91D882CF82}">
      <formula1>$A$113:$A$117</formula1>
    </dataValidation>
    <dataValidation type="list" allowBlank="1" showInputMessage="1" showErrorMessage="1" sqref="H25" xr:uid="{095C93FF-490B-4402-B683-A37A9B7C3451}">
      <formula1>$A$97:$A$102</formula1>
    </dataValidation>
    <dataValidation type="list" allowBlank="1" showInputMessage="1" showErrorMessage="1" sqref="H21" xr:uid="{4CD4CCEF-B574-415B-8BCD-EC12039F37EE}">
      <formula1>$A$106:$A$110</formula1>
    </dataValidation>
    <dataValidation type="list" allowBlank="1" showInputMessage="1" showErrorMessage="1" sqref="H28" xr:uid="{783E1D5F-EA40-47B6-B572-B74BD17326FB}">
      <formula1>$A$128:$A$132</formula1>
    </dataValidation>
    <dataValidation type="list" allowBlank="1" showInputMessage="1" showErrorMessage="1" sqref="H24" xr:uid="{8198FD1C-1F76-415E-8C0E-247261CDC246}">
      <formula1>$A$137:$A$141</formula1>
    </dataValidation>
    <dataValidation type="list" allowBlank="1" showInputMessage="1" showErrorMessage="1" sqref="H29" xr:uid="{096E011C-1E4D-474B-AAD5-26046785C3AA}">
      <formula1>$A$120:$A$124</formula1>
    </dataValidation>
    <dataValidation type="list" allowBlank="1" showInputMessage="1" showErrorMessage="1" sqref="H7" xr:uid="{8C8A5694-9C37-4642-9D56-40C0FE3688ED}">
      <formula1>$A$69:$A$78</formula1>
    </dataValidation>
    <dataValidation type="list" allowBlank="1" showInputMessage="1" showErrorMessage="1" sqref="H23" xr:uid="{0C62151E-E98A-4035-97F4-323C6E225F22}">
      <formula1>$A$88:$A$92</formula1>
    </dataValidation>
    <dataValidation type="list" allowBlank="1" showInputMessage="1" showErrorMessage="1" sqref="H5" xr:uid="{2DD5D858-4E66-4102-A2EE-0971F37392D8}">
      <formula1>$A$81:$A$85</formula1>
    </dataValidation>
  </dataValidations>
  <hyperlinks>
    <hyperlink ref="C5" r:id="rId1" xr:uid="{F7E98D56-063B-487F-BFC7-FBF59B0EEEB8}"/>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02267F-B0C0-493C-A92D-2E70F98A264D}">
  <sheetPr codeName="Sheet104"/>
  <dimension ref="A1:Q174"/>
  <sheetViews>
    <sheetView showWhiteSpace="0"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50</v>
      </c>
      <c r="C4" s="151"/>
      <c r="D4" s="38" t="s">
        <v>2</v>
      </c>
      <c r="E4" s="115">
        <f>IF(K30&gt;0,K30,"")</f>
        <v>1.6500000000000001</v>
      </c>
      <c r="G4" s="133" t="s">
        <v>173</v>
      </c>
      <c r="H4" s="124"/>
      <c r="L4" s="139" t="s">
        <v>5</v>
      </c>
      <c r="M4" s="284" t="s">
        <v>466</v>
      </c>
      <c r="N4" s="260"/>
    </row>
    <row r="5" spans="1:14" ht="25" x14ac:dyDescent="0.25">
      <c r="A5" s="37" t="s">
        <v>96</v>
      </c>
      <c r="B5" s="162" t="s">
        <v>427</v>
      </c>
      <c r="C5" s="164" t="s">
        <v>460</v>
      </c>
      <c r="D5" s="38" t="s">
        <v>84</v>
      </c>
      <c r="E5" s="115">
        <f>IF(B9&gt;0,E4/B9,"")</f>
        <v>2.1359223300970878</v>
      </c>
      <c r="G5" s="122" t="s">
        <v>98</v>
      </c>
      <c r="H5" s="123" t="s">
        <v>149</v>
      </c>
      <c r="I5" s="5"/>
    </row>
    <row r="6" spans="1:14" ht="13" thickBot="1" x14ac:dyDescent="0.3">
      <c r="A6" s="38" t="s">
        <v>97</v>
      </c>
      <c r="B6" s="163" t="s">
        <v>427</v>
      </c>
      <c r="C6" s="151"/>
      <c r="D6" s="116" t="s">
        <v>85</v>
      </c>
      <c r="E6" s="117">
        <f>IF(E4="","",IF(E4&gt;=Forside!$H$7,4,IF(E4&gt;=Forside!$H$8,3,IF(E4&gt;=Forside!$H$9,2,IF(E4&gt;0,1,"")))))</f>
        <v>3</v>
      </c>
      <c r="G6" s="38" t="s">
        <v>99</v>
      </c>
      <c r="H6" s="40">
        <v>40</v>
      </c>
      <c r="I6" s="1" t="s">
        <v>182</v>
      </c>
    </row>
    <row r="7" spans="1:14" ht="13" thickBot="1" x14ac:dyDescent="0.3">
      <c r="A7" s="38" t="s">
        <v>77</v>
      </c>
      <c r="B7" s="163" t="s">
        <v>202</v>
      </c>
      <c r="C7" s="151"/>
      <c r="D7" s="27"/>
      <c r="E7" s="28"/>
      <c r="G7" s="17" t="s">
        <v>66</v>
      </c>
      <c r="H7" s="42">
        <v>50</v>
      </c>
    </row>
    <row r="8" spans="1:14" ht="13" x14ac:dyDescent="0.3">
      <c r="A8" s="38" t="s">
        <v>91</v>
      </c>
      <c r="B8" s="14">
        <v>0.15</v>
      </c>
      <c r="C8" s="2"/>
      <c r="D8" s="118" t="s">
        <v>87</v>
      </c>
      <c r="E8" s="114"/>
      <c r="G8" s="38" t="s">
        <v>100</v>
      </c>
      <c r="H8" s="14">
        <v>40</v>
      </c>
    </row>
    <row r="9" spans="1:14" ht="13" thickBot="1" x14ac:dyDescent="0.3">
      <c r="A9" s="125" t="s">
        <v>6</v>
      </c>
      <c r="B9" s="20">
        <f>J55/1000000</f>
        <v>0.77249999999999996</v>
      </c>
      <c r="C9" s="2"/>
      <c r="D9" s="38" t="s">
        <v>112</v>
      </c>
      <c r="E9" s="119">
        <f>K16</f>
        <v>0.2</v>
      </c>
      <c r="G9" s="38" t="s">
        <v>101</v>
      </c>
      <c r="H9" s="14">
        <v>50</v>
      </c>
    </row>
    <row r="10" spans="1:14" x14ac:dyDescent="0.25">
      <c r="C10" s="36"/>
      <c r="D10" s="38" t="s">
        <v>123</v>
      </c>
      <c r="E10" s="120">
        <f>K22</f>
        <v>0.60000000000000009</v>
      </c>
      <c r="G10" s="38" t="s">
        <v>102</v>
      </c>
      <c r="H10" s="14">
        <v>0</v>
      </c>
    </row>
    <row r="11" spans="1:14" ht="24.75" customHeight="1" thickBot="1" x14ac:dyDescent="0.3">
      <c r="C11" s="36"/>
      <c r="D11" s="116" t="s">
        <v>130</v>
      </c>
      <c r="E11" s="121">
        <f>K26</f>
        <v>0.85000000000000009</v>
      </c>
    </row>
    <row r="12" spans="1:14" ht="13.5" thickBot="1" x14ac:dyDescent="0.3">
      <c r="A12" s="135" t="s">
        <v>17</v>
      </c>
      <c r="B12" s="105"/>
      <c r="C12" s="17"/>
      <c r="D12" s="17"/>
      <c r="E12"/>
    </row>
    <row r="13" spans="1:14" ht="13.5" customHeight="1" x14ac:dyDescent="0.25">
      <c r="A13" s="261" t="s">
        <v>428</v>
      </c>
      <c r="B13" s="262"/>
      <c r="C13" s="111"/>
      <c r="D13" s="111"/>
      <c r="E13"/>
    </row>
    <row r="14" spans="1:14" ht="13.5" customHeight="1"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0.2</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1000-2499</v>
      </c>
      <c r="I18" s="85">
        <f>Forside!E6</f>
        <v>0.05</v>
      </c>
      <c r="J18" s="64">
        <f>IF(H18="","",IF(H18="&lt;250",0,IF(H18="250-999",1,IF(H18="1000-2499",2,IF(H18="2500-4999",3,IF(H18="&gt;=5000",4,""))))))</f>
        <v>2</v>
      </c>
      <c r="K18" s="65">
        <f t="shared" si="0"/>
        <v>0.1</v>
      </c>
    </row>
    <row r="19" spans="1:11" ht="15.75" customHeight="1" thickBot="1" x14ac:dyDescent="0.3">
      <c r="A19" s="267"/>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50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58</v>
      </c>
      <c r="I21" s="85">
        <f>Forside!E9</f>
        <v>0.05</v>
      </c>
      <c r="J21" s="64">
        <f>IF(H21=A106,B106,IF(H21=A107,B107,(IF(H21=A108,B108,(IF(H21=A109,B109,(IF(H21=A110,B110,""))))))))</f>
        <v>1</v>
      </c>
      <c r="K21" s="65">
        <f t="shared" si="0"/>
        <v>0.05</v>
      </c>
    </row>
    <row r="22" spans="1:11" ht="16.5" thickBot="1" x14ac:dyDescent="0.35">
      <c r="A22" s="269"/>
      <c r="B22" s="270"/>
      <c r="C22" s="112"/>
      <c r="D22" s="112"/>
      <c r="E22" s="39"/>
      <c r="G22" s="57" t="s">
        <v>123</v>
      </c>
      <c r="H22" s="68"/>
      <c r="I22" s="59">
        <f>Forside!E10</f>
        <v>0.25</v>
      </c>
      <c r="J22" s="68"/>
      <c r="K22" s="69">
        <f>IF(J23="","",SUM(K23:K25))</f>
        <v>0.60000000000000009</v>
      </c>
    </row>
    <row r="23" spans="1:11" ht="25.5" thickBot="1" x14ac:dyDescent="0.35">
      <c r="A23" s="271"/>
      <c r="B23" s="272"/>
      <c r="C23" s="112"/>
      <c r="D23" s="112"/>
      <c r="G23" s="70" t="s">
        <v>77</v>
      </c>
      <c r="H23" s="71" t="s">
        <v>50</v>
      </c>
      <c r="I23" s="85">
        <f>Forside!E11</f>
        <v>0.1</v>
      </c>
      <c r="J23" s="72">
        <f>IF(H23=A88,B88,IF(H23=A89,B89,(IF(H23=A90,B90,(IF(H23=A91,B91,(IF(H23=A92,B92,""))))))))</f>
        <v>3</v>
      </c>
      <c r="K23" s="73">
        <f t="shared" si="0"/>
        <v>0.30000000000000004</v>
      </c>
    </row>
    <row r="24" spans="1:11" ht="16.5" thickBot="1" x14ac:dyDescent="0.35">
      <c r="A24" s="5"/>
      <c r="B24" s="5"/>
      <c r="C24" s="5"/>
      <c r="D24" s="5"/>
      <c r="E24" s="39"/>
      <c r="G24" s="70" t="s">
        <v>140</v>
      </c>
      <c r="H24" s="74" t="s">
        <v>80</v>
      </c>
      <c r="I24" s="85">
        <f>Forside!E12</f>
        <v>0.1</v>
      </c>
      <c r="J24" s="64">
        <f>IF(H24=A137,B137,IF(H24=A138,B138,(IF(H24=A139,B139,(IF(H24=A140,B140,(IF(H24=A141,B141,""))))))))</f>
        <v>3</v>
      </c>
      <c r="K24" s="65">
        <f t="shared" si="0"/>
        <v>0.30000000000000004</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12</v>
      </c>
      <c r="B26" s="155">
        <v>0</v>
      </c>
      <c r="C26" s="155">
        <v>0</v>
      </c>
      <c r="D26" s="156">
        <v>0</v>
      </c>
      <c r="E26" s="39"/>
      <c r="G26" s="57" t="s">
        <v>130</v>
      </c>
      <c r="H26" s="58"/>
      <c r="I26" s="59">
        <f>Forside!E14</f>
        <v>0.5</v>
      </c>
      <c r="J26" s="58"/>
      <c r="K26" s="60">
        <f>IF(J27="","",SUM(K27:K29))</f>
        <v>0.85000000000000009</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63</v>
      </c>
      <c r="I28" s="85">
        <f>Forside!E16</f>
        <v>0.05</v>
      </c>
      <c r="J28" s="128">
        <f>IF(H28=A128,B128,IF(H28=A129,B129,(IF(H28=A130,B130,(IF(H28=A131,B131,(IF(H28=A132,B132,""))))))))</f>
        <v>4</v>
      </c>
      <c r="K28" s="131">
        <f t="shared" si="0"/>
        <v>0.2</v>
      </c>
    </row>
    <row r="29" spans="1:11" ht="14.5" thickBot="1" x14ac:dyDescent="0.3">
      <c r="A29" s="5"/>
      <c r="G29" s="41" t="s">
        <v>136</v>
      </c>
      <c r="H29" s="81" t="s">
        <v>155</v>
      </c>
      <c r="I29" s="85">
        <f>Forside!E17</f>
        <v>0.2</v>
      </c>
      <c r="J29" s="129">
        <f>IF(H29=A120,B120,IF(H29=A121,B121,(IF(H29=A122,B122,(IF(H29=A123,B123,(IF(H29=A124,B124,""))))))))</f>
        <v>2</v>
      </c>
      <c r="K29" s="131">
        <f t="shared" si="0"/>
        <v>0.4</v>
      </c>
    </row>
    <row r="30" spans="1:11" ht="14.5" thickBot="1" x14ac:dyDescent="0.35">
      <c r="G30" s="57" t="s">
        <v>3</v>
      </c>
      <c r="H30" s="82"/>
      <c r="I30" s="83"/>
      <c r="J30" s="84"/>
      <c r="K30" s="132">
        <f>IF(Forside!E18="100%",IF(ISNUMBER(K16*K22*K26),K16+K22+K26,""),"Forkert vægtning")</f>
        <v>1.6500000000000001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461</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202</v>
      </c>
      <c r="H46" s="141">
        <v>150</v>
      </c>
      <c r="I46" s="141">
        <f>Enhedspriser!C2</f>
        <v>5000</v>
      </c>
      <c r="J46" s="145">
        <f>H46*I46</f>
        <v>750000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22500</v>
      </c>
    </row>
    <row r="55" spans="1:17" ht="27.75" customHeight="1" thickBot="1" x14ac:dyDescent="0.35">
      <c r="G55" s="149" t="s">
        <v>175</v>
      </c>
      <c r="H55" s="150"/>
      <c r="I55" s="150"/>
      <c r="J55" s="146">
        <f>SUM(J46:J54)</f>
        <v>772500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F3F41D12-D855-4CB1-B95B-586EA425579B}">
      <formula1>$A$113:$A$117</formula1>
    </dataValidation>
    <dataValidation type="list" allowBlank="1" showInputMessage="1" showErrorMessage="1" sqref="H25" xr:uid="{A79EC2FA-7076-4E76-BA92-718796CB65C2}">
      <formula1>$A$97:$A$102</formula1>
    </dataValidation>
    <dataValidation type="list" allowBlank="1" showInputMessage="1" showErrorMessage="1" sqref="H21" xr:uid="{BA9AD772-EE27-4820-B6B6-BBECC648A8F4}">
      <formula1>$A$106:$A$110</formula1>
    </dataValidation>
    <dataValidation type="list" allowBlank="1" showInputMessage="1" showErrorMessage="1" sqref="H28" xr:uid="{C106657D-0C75-4BEC-AC91-428A5648885F}">
      <formula1>$A$128:$A$132</formula1>
    </dataValidation>
    <dataValidation type="list" allowBlank="1" showInputMessage="1" showErrorMessage="1" sqref="H24" xr:uid="{73AA4D6D-A115-4A97-9D5A-BE7C54F712DE}">
      <formula1>$A$137:$A$141</formula1>
    </dataValidation>
    <dataValidation type="list" allowBlank="1" showInputMessage="1" showErrorMessage="1" sqref="H29" xr:uid="{DA2A338A-EF13-4E17-8AFE-03E1EACE58B2}">
      <formula1>$A$120:$A$124</formula1>
    </dataValidation>
    <dataValidation type="list" allowBlank="1" showInputMessage="1" showErrorMessage="1" sqref="H7" xr:uid="{DA99F98F-8E92-4EE5-8A5D-F5B59AC5AD26}">
      <formula1>$A$69:$A$78</formula1>
    </dataValidation>
    <dataValidation type="list" allowBlank="1" showInputMessage="1" showErrorMessage="1" sqref="H23" xr:uid="{9680CAFF-9B08-46A2-B093-8BC2DDC3EFFF}">
      <formula1>$A$88:$A$92</formula1>
    </dataValidation>
    <dataValidation type="list" allowBlank="1" showInputMessage="1" showErrorMessage="1" sqref="H5" xr:uid="{A0D02045-B37A-442A-812C-127250FB3D7E}">
      <formula1>$A$81:$A$85</formula1>
    </dataValidation>
  </dataValidations>
  <pageMargins left="0.74803149606299213" right="0.74803149606299213" top="0.6692913385826772" bottom="0.59055118110236227" header="0.51181102362204722" footer="0.51181102362204722"/>
  <pageSetup paperSize="9" scale="70" fitToWidth="0" fitToHeight="0" orientation="portrait" r:id="rId1"/>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legacyDrawingHF r:id="rId2"/>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2BB594-45AA-4ECD-9C23-54588688B73A}">
  <sheetPr codeName="Sheet105"/>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51</v>
      </c>
      <c r="C4" s="151"/>
      <c r="D4" s="38" t="s">
        <v>2</v>
      </c>
      <c r="E4" s="115">
        <f>IF(K30&gt;0,K30,"")</f>
        <v>2.2000000000000002</v>
      </c>
      <c r="G4" s="133" t="s">
        <v>173</v>
      </c>
      <c r="H4" s="124"/>
      <c r="L4" s="139" t="s">
        <v>5</v>
      </c>
      <c r="M4" s="284" t="s">
        <v>466</v>
      </c>
      <c r="N4" s="260"/>
    </row>
    <row r="5" spans="1:14" x14ac:dyDescent="0.25">
      <c r="A5" s="37" t="s">
        <v>96</v>
      </c>
      <c r="B5" s="18" t="s">
        <v>403</v>
      </c>
      <c r="C5" s="152"/>
      <c r="D5" s="38" t="s">
        <v>84</v>
      </c>
      <c r="E5" s="115">
        <f>IF(B9&gt;0,E4/B9,"")</f>
        <v>0.75943905070118667</v>
      </c>
      <c r="G5" s="122" t="s">
        <v>98</v>
      </c>
      <c r="H5" s="123" t="s">
        <v>68</v>
      </c>
    </row>
    <row r="6" spans="1:14" ht="13" thickBot="1" x14ac:dyDescent="0.3">
      <c r="A6" s="38" t="s">
        <v>97</v>
      </c>
      <c r="B6" s="19" t="s">
        <v>403</v>
      </c>
      <c r="C6" s="151"/>
      <c r="D6" s="116" t="s">
        <v>85</v>
      </c>
      <c r="E6" s="117">
        <f>IF(E4="","",IF(E4&gt;=Forside!$H$7,4,IF(E4&gt;=Forside!$H$8,3,IF(E4&gt;=Forside!$H$9,2,IF(E4&gt;0,1,"")))))</f>
        <v>4</v>
      </c>
      <c r="G6" s="38" t="s">
        <v>99</v>
      </c>
      <c r="H6" s="40">
        <v>50</v>
      </c>
    </row>
    <row r="7" spans="1:14" ht="13" thickBot="1" x14ac:dyDescent="0.3">
      <c r="A7" s="38" t="s">
        <v>77</v>
      </c>
      <c r="B7" s="19" t="s">
        <v>192</v>
      </c>
      <c r="C7" s="151"/>
      <c r="D7" s="27"/>
      <c r="E7" s="28"/>
      <c r="G7" s="17" t="s">
        <v>66</v>
      </c>
      <c r="H7" s="42">
        <v>30</v>
      </c>
    </row>
    <row r="8" spans="1:14" ht="13" x14ac:dyDescent="0.3">
      <c r="A8" s="38" t="s">
        <v>91</v>
      </c>
      <c r="B8" s="14">
        <v>0.75</v>
      </c>
      <c r="C8" s="2"/>
      <c r="D8" s="118" t="s">
        <v>87</v>
      </c>
      <c r="E8" s="114"/>
      <c r="G8" s="38" t="s">
        <v>100</v>
      </c>
      <c r="H8" s="14">
        <v>30</v>
      </c>
      <c r="I8" s="1" t="s">
        <v>404</v>
      </c>
    </row>
    <row r="9" spans="1:14" ht="13" thickBot="1" x14ac:dyDescent="0.3">
      <c r="A9" s="125" t="s">
        <v>6</v>
      </c>
      <c r="B9" s="20">
        <f>J55/1000000</f>
        <v>2.8968750000000001</v>
      </c>
      <c r="C9" s="2"/>
      <c r="D9" s="38" t="s">
        <v>112</v>
      </c>
      <c r="E9" s="119">
        <f>K16</f>
        <v>0</v>
      </c>
      <c r="G9" s="38" t="s">
        <v>101</v>
      </c>
      <c r="H9" s="14">
        <v>30</v>
      </c>
      <c r="I9" s="1" t="s">
        <v>404</v>
      </c>
    </row>
    <row r="10" spans="1:14" x14ac:dyDescent="0.25">
      <c r="C10" s="36"/>
      <c r="D10" s="38" t="s">
        <v>123</v>
      </c>
      <c r="E10" s="120">
        <f>K22</f>
        <v>0.70000000000000007</v>
      </c>
      <c r="G10" s="38" t="s">
        <v>102</v>
      </c>
      <c r="H10" s="14">
        <v>0</v>
      </c>
    </row>
    <row r="11" spans="1:14" ht="24.75" customHeight="1" thickBot="1" x14ac:dyDescent="0.3">
      <c r="C11" s="36"/>
      <c r="D11" s="116" t="s">
        <v>130</v>
      </c>
      <c r="E11" s="121">
        <f>K26</f>
        <v>1.5</v>
      </c>
    </row>
    <row r="12" spans="1:14" ht="13.5" thickBot="1" x14ac:dyDescent="0.3">
      <c r="A12" s="135" t="s">
        <v>17</v>
      </c>
      <c r="B12" s="105"/>
      <c r="C12" s="17"/>
      <c r="D12" s="17"/>
      <c r="E12"/>
    </row>
    <row r="13" spans="1:14" ht="13" x14ac:dyDescent="0.25">
      <c r="A13" s="261" t="s">
        <v>405</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&lt;250</v>
      </c>
      <c r="I18" s="85">
        <f>Forside!E6</f>
        <v>0.05</v>
      </c>
      <c r="J18" s="64">
        <f>IF(H18="","",IF(H18="&lt;250",0,IF(H18="250-999",1,IF(H18="1000-2499",2,IF(H18="2500-4999",3,IF(H18="&gt;=5000",4,""))))))</f>
        <v>0</v>
      </c>
      <c r="K18" s="65">
        <f t="shared" si="0"/>
        <v>0</v>
      </c>
    </row>
    <row r="19" spans="1:11" ht="15.75" customHeight="1" thickBot="1" x14ac:dyDescent="0.3">
      <c r="A19" s="267"/>
      <c r="B19" s="268"/>
      <c r="C19" s="112"/>
      <c r="D19" s="112"/>
      <c r="E19" s="39"/>
      <c r="G19" s="41" t="s">
        <v>66</v>
      </c>
      <c r="H19" s="104">
        <f>IF(H7="","",H7)</f>
        <v>30</v>
      </c>
      <c r="I19" s="85">
        <f>Forside!E7</f>
        <v>0.05</v>
      </c>
      <c r="J19" s="64">
        <f>IF(H19=A69,B69,IF(H19=A70,B70,IF(H19=A71,B71,IF(H19=A72,B72,IF(H19=A73,B73,IF(H19=A74,B74,IF(H19=A75,B75,IF(H19=A76,B76,IF(H19=A77,B77,IF(H19=A78,B78,""))))))))))</f>
        <v>0</v>
      </c>
      <c r="K19" s="65">
        <f t="shared" si="0"/>
        <v>0</v>
      </c>
    </row>
    <row r="20" spans="1:11" ht="15.75" customHeight="1" thickBot="1" x14ac:dyDescent="0.3">
      <c r="A20" s="269"/>
      <c r="B20" s="270"/>
      <c r="C20" s="112"/>
      <c r="D20" s="112"/>
      <c r="E20" s="39"/>
      <c r="G20" s="41" t="s">
        <v>89</v>
      </c>
      <c r="H20" s="104">
        <f>IF(H9="","",H9)</f>
        <v>30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c r="I21" s="85">
        <f>Forside!E9</f>
        <v>0.05</v>
      </c>
      <c r="J21" s="64" t="str">
        <f>IF(H21=A106,B106,IF(H21=A107,B107,(IF(H21=A108,B108,(IF(H21=A109,B109,(IF(H21=A110,B110,""))))))))</f>
        <v/>
      </c>
      <c r="K21" s="65" t="str">
        <f t="shared" si="0"/>
        <v/>
      </c>
    </row>
    <row r="22" spans="1:11" ht="16.5" thickBot="1" x14ac:dyDescent="0.35">
      <c r="A22" s="269"/>
      <c r="B22" s="270"/>
      <c r="C22" s="112"/>
      <c r="D22" s="112"/>
      <c r="E22" s="39"/>
      <c r="G22" s="57" t="s">
        <v>123</v>
      </c>
      <c r="H22" s="68"/>
      <c r="I22" s="59">
        <f>Forside!E10</f>
        <v>0.25</v>
      </c>
      <c r="J22" s="68"/>
      <c r="K22" s="69">
        <f>IF(J23="","",SUM(K23:K25))</f>
        <v>0.70000000000000007</v>
      </c>
    </row>
    <row r="23" spans="1:11" ht="14.5" thickBot="1" x14ac:dyDescent="0.35">
      <c r="A23" s="271"/>
      <c r="B23" s="272"/>
      <c r="C23" s="112"/>
      <c r="D23" s="112"/>
      <c r="G23" s="70" t="s">
        <v>77</v>
      </c>
      <c r="H23" s="71" t="s">
        <v>51</v>
      </c>
      <c r="I23" s="85">
        <f>Forside!E11</f>
        <v>0.1</v>
      </c>
      <c r="J23" s="72">
        <f>IF(H23=A88,B88,IF(H23=A89,B89,(IF(H23=A90,B90,(IF(H23=A91,B91,(IF(H23=A92,B92,""))))))))</f>
        <v>4</v>
      </c>
      <c r="K23" s="73">
        <f t="shared" si="0"/>
        <v>0.4</v>
      </c>
    </row>
    <row r="24" spans="1:11" ht="16.5" thickBot="1" x14ac:dyDescent="0.35">
      <c r="A24" s="5"/>
      <c r="B24" s="5"/>
      <c r="C24" s="5"/>
      <c r="D24" s="5"/>
      <c r="E24" s="39"/>
      <c r="G24" s="70" t="s">
        <v>140</v>
      </c>
      <c r="H24" s="74" t="s">
        <v>80</v>
      </c>
      <c r="I24" s="85">
        <f>Forside!E12</f>
        <v>0.1</v>
      </c>
      <c r="J24" s="64">
        <f>IF(H24=A137,B137,IF(H24=A138,B138,(IF(H24=A139,B139,(IF(H24=A140,B140,(IF(H24=A141,B141,""))))))))</f>
        <v>3</v>
      </c>
      <c r="K24" s="65">
        <f t="shared" si="0"/>
        <v>0.30000000000000004</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10"/>
      <c r="B26" s="47"/>
      <c r="C26" s="47"/>
      <c r="D26" s="48"/>
      <c r="E26" s="39"/>
      <c r="G26" s="57" t="s">
        <v>130</v>
      </c>
      <c r="H26" s="58"/>
      <c r="I26" s="59">
        <f>Forside!E14</f>
        <v>0.5</v>
      </c>
      <c r="J26" s="58"/>
      <c r="K26" s="60">
        <f>IF(J27="","",SUM(K27:K29))</f>
        <v>1.5</v>
      </c>
    </row>
    <row r="27" spans="1:11" ht="16.5" thickBot="1" x14ac:dyDescent="0.35">
      <c r="E27" s="39"/>
      <c r="G27" s="79" t="s">
        <v>141</v>
      </c>
      <c r="H27" s="80" t="s">
        <v>111</v>
      </c>
      <c r="I27" s="85">
        <f>Forside!E15</f>
        <v>0.25</v>
      </c>
      <c r="J27" s="127">
        <f>IF(H27=A113,B113,IF(H27=A114,B114,(IF(H27=A115,B115,(IF(H27=A116,B116,(IF(H27=A117,B117,""))))))))</f>
        <v>3</v>
      </c>
      <c r="K27" s="130">
        <f t="shared" si="0"/>
        <v>0.75</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2.2000000000000002</v>
      </c>
    </row>
    <row r="32" spans="1:11" x14ac:dyDescent="0.25">
      <c r="H32" s="17"/>
      <c r="I32" s="43"/>
    </row>
    <row r="33" spans="6:14" ht="26.25" customHeight="1" x14ac:dyDescent="0.3">
      <c r="J33" s="24" t="s">
        <v>85</v>
      </c>
      <c r="K33" s="25" t="s">
        <v>2</v>
      </c>
    </row>
    <row r="34" spans="6:14" x14ac:dyDescent="0.25">
      <c r="J34" s="26">
        <v>4</v>
      </c>
      <c r="K34" s="169" t="str">
        <f>"&gt;"&amp;Forside!$H$7</f>
        <v>&gt;1,8</v>
      </c>
    </row>
    <row r="35" spans="6:14" x14ac:dyDescent="0.25">
      <c r="J35" s="26">
        <v>3</v>
      </c>
      <c r="K35" s="169" t="str">
        <f>"&gt;="&amp;Forside!$H$8</f>
        <v>&gt;=1,35</v>
      </c>
    </row>
    <row r="36" spans="6:14" ht="12.75" customHeight="1" x14ac:dyDescent="0.25">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750</v>
      </c>
      <c r="I46" s="141">
        <f>Enhedspriser!C3</f>
        <v>3750</v>
      </c>
      <c r="J46" s="145">
        <f>H46*I46</f>
        <v>2812500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84375</v>
      </c>
    </row>
    <row r="55" spans="1:17" ht="27.75" customHeight="1" thickBot="1" x14ac:dyDescent="0.35">
      <c r="G55" s="149" t="s">
        <v>175</v>
      </c>
      <c r="H55" s="150"/>
      <c r="I55" s="150"/>
      <c r="J55" s="146">
        <f>SUM(J46:J54)</f>
        <v>2896875</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disablePrompts="1" count="9">
    <dataValidation type="list" allowBlank="1" showInputMessage="1" showErrorMessage="1" sqref="H27" xr:uid="{B3F72DDF-79E4-4DDE-A468-75BA4F0822C5}">
      <formula1>$A$113:$A$117</formula1>
    </dataValidation>
    <dataValidation type="list" allowBlank="1" showInputMessage="1" showErrorMessage="1" sqref="H25" xr:uid="{6BB41530-89AF-43A4-946C-999D9F99803B}">
      <formula1>$A$97:$A$102</formula1>
    </dataValidation>
    <dataValidation type="list" allowBlank="1" showInputMessage="1" showErrorMessage="1" sqref="H21" xr:uid="{54110173-5652-43A0-A7BC-CBF7294DB55E}">
      <formula1>$A$106:$A$110</formula1>
    </dataValidation>
    <dataValidation type="list" allowBlank="1" showInputMessage="1" showErrorMessage="1" sqref="H28" xr:uid="{4064B570-F36E-4A6C-AE4A-AAD533DFF7A0}">
      <formula1>$A$128:$A$132</formula1>
    </dataValidation>
    <dataValidation type="list" allowBlank="1" showInputMessage="1" showErrorMessage="1" sqref="H24" xr:uid="{D790CE98-0940-428B-A211-F9BB6215786B}">
      <formula1>$A$137:$A$141</formula1>
    </dataValidation>
    <dataValidation type="list" allowBlank="1" showInputMessage="1" showErrorMessage="1" sqref="H29" xr:uid="{548969B6-9FF4-4663-879F-B4CC64AA7DBA}">
      <formula1>$A$120:$A$124</formula1>
    </dataValidation>
    <dataValidation type="list" allowBlank="1" showInputMessage="1" showErrorMessage="1" sqref="H7" xr:uid="{965CF06B-551F-4964-9E16-E7738E183C19}">
      <formula1>$A$69:$A$78</formula1>
    </dataValidation>
    <dataValidation type="list" allowBlank="1" showInputMessage="1" showErrorMessage="1" sqref="H23" xr:uid="{A97129A3-789A-44B4-B8AC-1EBE4007D047}">
      <formula1>$A$88:$A$92</formula1>
    </dataValidation>
    <dataValidation type="list" allowBlank="1" showInputMessage="1" showErrorMessage="1" sqref="H5" xr:uid="{09608671-ACA5-4863-87F2-3A21BC60DAA5}">
      <formula1>$A$81:$A$85</formula1>
    </dataValidation>
  </dataValidations>
  <pageMargins left="0.74803149606299213" right="0.74803149606299213" top="0.6692913385826772" bottom="0.59055118110236227" header="0.51181102362204722" footer="0.51181102362204722"/>
  <pageSetup paperSize="9" scale="70" fitToWidth="0" fitToHeight="0" orientation="portrait" r:id="rId1"/>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legacyDrawingHF r:id="rId2"/>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BD27C4-9586-4385-9A92-E6E739303C9F}">
  <sheetPr codeName="Sheet106"/>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52</v>
      </c>
      <c r="C4" s="151"/>
      <c r="D4" s="38" t="s">
        <v>2</v>
      </c>
      <c r="E4" s="115">
        <f>IF(K30&gt;0,K30,"")</f>
        <v>1.35</v>
      </c>
      <c r="G4" s="133" t="s">
        <v>173</v>
      </c>
      <c r="H4" s="124"/>
      <c r="L4" s="139" t="s">
        <v>5</v>
      </c>
      <c r="M4" s="284" t="s">
        <v>466</v>
      </c>
      <c r="N4" s="260"/>
    </row>
    <row r="5" spans="1:14" x14ac:dyDescent="0.25">
      <c r="A5" s="37" t="s">
        <v>96</v>
      </c>
      <c r="B5" s="18" t="s">
        <v>406</v>
      </c>
      <c r="C5" s="152"/>
      <c r="D5" s="38" t="s">
        <v>84</v>
      </c>
      <c r="E5" s="115">
        <f>IF(B9&gt;0,E4/B9,"")</f>
        <v>0.19972260748959778</v>
      </c>
      <c r="G5" s="122" t="s">
        <v>98</v>
      </c>
      <c r="H5" s="123" t="s">
        <v>148</v>
      </c>
      <c r="I5" s="158" t="s">
        <v>421</v>
      </c>
    </row>
    <row r="6" spans="1:14" ht="25.5" thickBot="1" x14ac:dyDescent="0.3">
      <c r="A6" s="38" t="s">
        <v>97</v>
      </c>
      <c r="B6" s="19" t="s">
        <v>407</v>
      </c>
      <c r="C6" s="161" t="s">
        <v>408</v>
      </c>
      <c r="D6" s="116" t="s">
        <v>85</v>
      </c>
      <c r="E6" s="117">
        <f>IF(E4="","",IF(E4&gt;=Forside!$H$7,4,IF(E4&gt;=Forside!$H$8,3,IF(E4&gt;=Forside!$H$9,2,IF(E4&gt;0,1,"")))))</f>
        <v>3</v>
      </c>
      <c r="G6" s="38" t="s">
        <v>99</v>
      </c>
      <c r="H6" s="40">
        <v>25</v>
      </c>
    </row>
    <row r="7" spans="1:14" ht="25.5" thickBot="1" x14ac:dyDescent="0.3">
      <c r="A7" s="38" t="s">
        <v>77</v>
      </c>
      <c r="B7" s="19" t="s">
        <v>409</v>
      </c>
      <c r="C7" s="151"/>
      <c r="D7" s="27"/>
      <c r="E7" s="28"/>
      <c r="G7" s="17" t="s">
        <v>66</v>
      </c>
      <c r="H7" s="42">
        <v>50</v>
      </c>
    </row>
    <row r="8" spans="1:14" ht="13" x14ac:dyDescent="0.3">
      <c r="A8" s="38" t="s">
        <v>91</v>
      </c>
      <c r="B8" s="14">
        <v>0.65</v>
      </c>
      <c r="C8" s="2"/>
      <c r="D8" s="118" t="s">
        <v>87</v>
      </c>
      <c r="E8" s="114"/>
      <c r="G8" s="38" t="s">
        <v>100</v>
      </c>
      <c r="H8" s="14">
        <v>45</v>
      </c>
    </row>
    <row r="9" spans="1:14" ht="13" thickBot="1" x14ac:dyDescent="0.3">
      <c r="A9" s="125" t="s">
        <v>6</v>
      </c>
      <c r="B9" s="20">
        <f>J55/1000000</f>
        <v>6.7593750000000004</v>
      </c>
      <c r="C9" s="2"/>
      <c r="D9" s="38" t="s">
        <v>112</v>
      </c>
      <c r="E9" s="119">
        <f>K16</f>
        <v>0.4</v>
      </c>
      <c r="G9" s="38" t="s">
        <v>101</v>
      </c>
      <c r="H9" s="14">
        <v>55</v>
      </c>
      <c r="I9" s="1" t="s">
        <v>182</v>
      </c>
    </row>
    <row r="10" spans="1:14" x14ac:dyDescent="0.25">
      <c r="C10" s="36"/>
      <c r="D10" s="38" t="s">
        <v>123</v>
      </c>
      <c r="E10" s="120">
        <f>K22</f>
        <v>0.4</v>
      </c>
      <c r="G10" s="38" t="s">
        <v>102</v>
      </c>
      <c r="H10" s="14">
        <v>0</v>
      </c>
    </row>
    <row r="11" spans="1:14" ht="24.75" customHeight="1" thickBot="1" x14ac:dyDescent="0.3">
      <c r="C11" s="36"/>
      <c r="D11" s="116" t="s">
        <v>130</v>
      </c>
      <c r="E11" s="121">
        <f>K26</f>
        <v>0.55000000000000004</v>
      </c>
    </row>
    <row r="12" spans="1:14" ht="13.5" thickBot="1" x14ac:dyDescent="0.3">
      <c r="A12" s="135" t="s">
        <v>17</v>
      </c>
      <c r="B12" s="105"/>
      <c r="C12" s="17"/>
      <c r="D12" s="17"/>
      <c r="E12"/>
    </row>
    <row r="13" spans="1:14" ht="13" x14ac:dyDescent="0.25">
      <c r="A13" s="261" t="s">
        <v>410</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0.4</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88" t="s">
        <v>411</v>
      </c>
      <c r="B19" s="289"/>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90"/>
      <c r="B20" s="291"/>
      <c r="C20" s="112"/>
      <c r="D20" s="112"/>
      <c r="E20" s="39"/>
      <c r="G20" s="41" t="s">
        <v>89</v>
      </c>
      <c r="H20" s="104">
        <f>IF(H9="","",H9)</f>
        <v>55</v>
      </c>
      <c r="I20" s="85">
        <f>Forside!E8</f>
        <v>0.05</v>
      </c>
      <c r="J20" s="66">
        <f>IF(H20="","",IF(H19="","",IF(H20&lt;=H19,0,IF(H20&lt;H19*1.05,1,IF(H20&lt;H19*1.1,2,IF(H20&lt;H19*1.15,3,IF(H20&gt;=H19*1.15,4,"")))))))</f>
        <v>3</v>
      </c>
      <c r="K20" s="65">
        <f t="shared" si="0"/>
        <v>0.15000000000000002</v>
      </c>
    </row>
    <row r="21" spans="1:11" ht="16.5" thickBot="1" x14ac:dyDescent="0.3">
      <c r="A21" s="290"/>
      <c r="B21" s="291"/>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90"/>
      <c r="B22" s="291"/>
      <c r="C22" s="112"/>
      <c r="D22" s="112"/>
      <c r="E22" s="39"/>
      <c r="G22" s="57" t="s">
        <v>123</v>
      </c>
      <c r="H22" s="68"/>
      <c r="I22" s="59">
        <f>Forside!E10</f>
        <v>0.25</v>
      </c>
      <c r="J22" s="68"/>
      <c r="K22" s="69">
        <f>IF(J23="","",SUM(K23:K25))</f>
        <v>0.4</v>
      </c>
    </row>
    <row r="23" spans="1:11" ht="25.5" thickBot="1" x14ac:dyDescent="0.35">
      <c r="A23" s="292"/>
      <c r="B23" s="293"/>
      <c r="C23" s="112"/>
      <c r="D23" s="112"/>
      <c r="G23" s="70" t="s">
        <v>77</v>
      </c>
      <c r="H23" s="71" t="s">
        <v>50</v>
      </c>
      <c r="I23" s="85">
        <f>Forside!E11</f>
        <v>0.1</v>
      </c>
      <c r="J23" s="72">
        <f>IF(H23=A88,B88,IF(H23=A89,B89,(IF(H23=A90,B90,(IF(H23=A91,B91,(IF(H23=A92,B92,""))))))))</f>
        <v>3</v>
      </c>
      <c r="K23" s="73">
        <f t="shared" si="0"/>
        <v>0.30000000000000004</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53</v>
      </c>
      <c r="I25" s="85">
        <f>Forside!E13</f>
        <v>0.05</v>
      </c>
      <c r="J25" s="77">
        <f>IF(H25=A102,B102,IF(H25=A101,B101,IF(H25=A100,B100,IF(H25=A99,B99,IF(H25=A98,B98,"")))))</f>
        <v>0</v>
      </c>
      <c r="K25" s="78">
        <f t="shared" si="0"/>
        <v>0</v>
      </c>
    </row>
    <row r="26" spans="1:11" ht="16.5" thickBot="1" x14ac:dyDescent="0.35">
      <c r="A26" s="110" t="s">
        <v>184</v>
      </c>
      <c r="B26" s="47"/>
      <c r="C26" s="47"/>
      <c r="D26" s="48"/>
      <c r="E26" s="39"/>
      <c r="G26" s="57" t="s">
        <v>130</v>
      </c>
      <c r="H26" s="58"/>
      <c r="I26" s="59">
        <f>Forside!E14</f>
        <v>0.5</v>
      </c>
      <c r="J26" s="58"/>
      <c r="K26" s="60">
        <f>IF(J27="","",SUM(K27:K29))</f>
        <v>0.55000000000000004</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1.35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462</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409</v>
      </c>
      <c r="H46" s="141">
        <v>650</v>
      </c>
      <c r="I46" s="141">
        <v>6250</v>
      </c>
      <c r="J46" s="160">
        <f>H46*I46</f>
        <v>4062500</v>
      </c>
      <c r="L46" s="250" t="s">
        <v>172</v>
      </c>
      <c r="M46" s="251"/>
      <c r="N46" s="252"/>
    </row>
    <row r="47" spans="6:14" ht="12.75" customHeight="1" x14ac:dyDescent="0.3">
      <c r="G47" s="140" t="s">
        <v>412</v>
      </c>
      <c r="H47" s="141">
        <v>1</v>
      </c>
      <c r="I47" s="141">
        <v>1500000</v>
      </c>
      <c r="J47" s="160">
        <f>H47*I47</f>
        <v>1500000</v>
      </c>
      <c r="L47" s="250"/>
      <c r="M47" s="251"/>
      <c r="N47" s="252"/>
    </row>
    <row r="48" spans="6:14" ht="13" x14ac:dyDescent="0.3">
      <c r="G48" s="140" t="s">
        <v>413</v>
      </c>
      <c r="H48" s="141">
        <v>1</v>
      </c>
      <c r="I48" s="141">
        <v>1000000</v>
      </c>
      <c r="J48" s="160">
        <f t="shared" ref="J48:J53" si="1">H48*I48</f>
        <v>1000000</v>
      </c>
      <c r="L48" s="250"/>
      <c r="M48" s="251"/>
      <c r="N48" s="252"/>
    </row>
    <row r="49" spans="1:17" ht="13" x14ac:dyDescent="0.3">
      <c r="G49" s="140"/>
      <c r="H49" s="141"/>
      <c r="I49" s="141"/>
      <c r="J49" s="160">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196875</v>
      </c>
    </row>
    <row r="55" spans="1:17" ht="27.75" customHeight="1" thickBot="1" x14ac:dyDescent="0.35">
      <c r="G55" s="149" t="s">
        <v>175</v>
      </c>
      <c r="H55" s="150"/>
      <c r="I55" s="150"/>
      <c r="J55" s="146">
        <f>SUM(J46:J54)</f>
        <v>6759375</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6FB7ADCA-4FF9-41F0-8AE6-5A94DB124055}">
      <formula1>$A$113:$A$117</formula1>
    </dataValidation>
    <dataValidation type="list" allowBlank="1" showInputMessage="1" showErrorMessage="1" sqref="H25" xr:uid="{612903CB-1B44-415F-92BE-A7129D2B1DF0}">
      <formula1>$A$97:$A$102</formula1>
    </dataValidation>
    <dataValidation type="list" allowBlank="1" showInputMessage="1" showErrorMessage="1" sqref="H21" xr:uid="{A02D11EC-E0DC-417F-9C31-4E5608105AA3}">
      <formula1>$A$106:$A$110</formula1>
    </dataValidation>
    <dataValidation type="list" allowBlank="1" showInputMessage="1" showErrorMessage="1" sqref="H28" xr:uid="{56B37076-CCE5-4857-BD89-C6EE5F0DEFBE}">
      <formula1>$A$128:$A$132</formula1>
    </dataValidation>
    <dataValidation type="list" allowBlank="1" showInputMessage="1" showErrorMessage="1" sqref="H24" xr:uid="{C22C7C0D-57C6-4FC3-BE20-C72E0DFCE4F2}">
      <formula1>$A$137:$A$141</formula1>
    </dataValidation>
    <dataValidation type="list" allowBlank="1" showInputMessage="1" showErrorMessage="1" sqref="H29" xr:uid="{7638EF50-A633-48E7-BE8F-9BBD49A579C5}">
      <formula1>$A$120:$A$124</formula1>
    </dataValidation>
    <dataValidation type="list" allowBlank="1" showInputMessage="1" showErrorMessage="1" sqref="H7" xr:uid="{B99B63FB-96BE-4990-AB2A-BE82F959E430}">
      <formula1>$A$69:$A$78</formula1>
    </dataValidation>
    <dataValidation type="list" allowBlank="1" showInputMessage="1" showErrorMessage="1" sqref="H23" xr:uid="{E382FE77-2045-4535-95CE-40B6288ACA3B}">
      <formula1>$A$88:$A$92</formula1>
    </dataValidation>
    <dataValidation type="list" allowBlank="1" showInputMessage="1" showErrorMessage="1" sqref="H5" xr:uid="{54193E54-0A39-4F8F-BC9F-79CA3259DEA9}">
      <formula1>$A$81:$A$85</formula1>
    </dataValidation>
  </dataValidations>
  <hyperlinks>
    <hyperlink ref="C6" r:id="rId1" xr:uid="{50DBAF4F-A514-4392-9D7F-07213D4F63E9}"/>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5EEB4B-3B28-41D4-8927-A12F2A45F432}">
  <sheetPr codeName="Sheet60"/>
  <dimension ref="A1:Q174"/>
  <sheetViews>
    <sheetView view="pageLayout" zoomScaleNormal="115" workbookViewId="0">
      <selection activeCell="E5" sqref="E5"/>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1</v>
      </c>
      <c r="C4" s="153"/>
      <c r="D4" s="38" t="s">
        <v>2</v>
      </c>
      <c r="E4" s="115">
        <f>IF(K30&gt;0,K30,"")</f>
        <v>1.75</v>
      </c>
      <c r="G4" s="133" t="s">
        <v>173</v>
      </c>
      <c r="H4" s="124"/>
      <c r="L4" s="139" t="s">
        <v>5</v>
      </c>
      <c r="M4" s="284" t="s">
        <v>466</v>
      </c>
      <c r="N4" s="260"/>
    </row>
    <row r="5" spans="1:14" ht="25" x14ac:dyDescent="0.25">
      <c r="A5" s="37" t="s">
        <v>96</v>
      </c>
      <c r="B5" s="18" t="s">
        <v>178</v>
      </c>
      <c r="C5" s="164" t="s">
        <v>181</v>
      </c>
      <c r="D5" s="38" t="s">
        <v>84</v>
      </c>
      <c r="E5" s="115">
        <f>IF(B9&gt;0,E4/B9,"")</f>
        <v>8.0048486511830025E-2</v>
      </c>
      <c r="G5" s="122" t="s">
        <v>98</v>
      </c>
      <c r="H5" s="123" t="s">
        <v>148</v>
      </c>
    </row>
    <row r="6" spans="1:14" ht="13" thickBot="1" x14ac:dyDescent="0.3">
      <c r="A6" s="38" t="s">
        <v>97</v>
      </c>
      <c r="B6" s="19" t="s">
        <v>179</v>
      </c>
      <c r="C6" s="151"/>
      <c r="D6" s="116" t="s">
        <v>85</v>
      </c>
      <c r="E6" s="117">
        <f>IF(E4="","",IF(E4&gt;=Forside!$H$7,4,IF(E4&gt;=Forside!$H$8,3,IF(E4&gt;=Forside!$H$9,2,IF(E4&gt;0,1,"")))))</f>
        <v>3</v>
      </c>
      <c r="G6" s="38" t="s">
        <v>99</v>
      </c>
      <c r="H6" s="40">
        <v>10</v>
      </c>
      <c r="I6" s="5" t="s">
        <v>182</v>
      </c>
    </row>
    <row r="7" spans="1:14" ht="13" thickBot="1" x14ac:dyDescent="0.3">
      <c r="A7" s="38" t="s">
        <v>77</v>
      </c>
      <c r="B7" s="19" t="s">
        <v>180</v>
      </c>
      <c r="C7" s="151"/>
      <c r="D7" s="27"/>
      <c r="E7" s="28"/>
      <c r="G7" s="17" t="s">
        <v>66</v>
      </c>
      <c r="H7" s="42">
        <v>80</v>
      </c>
    </row>
    <row r="8" spans="1:14" ht="13" x14ac:dyDescent="0.3">
      <c r="A8" s="38" t="s">
        <v>91</v>
      </c>
      <c r="B8" s="14">
        <v>5.5</v>
      </c>
      <c r="C8" s="2"/>
      <c r="D8" s="118" t="s">
        <v>87</v>
      </c>
      <c r="E8" s="114"/>
      <c r="G8" s="38" t="s">
        <v>100</v>
      </c>
      <c r="H8" s="14">
        <v>75</v>
      </c>
      <c r="I8" s="5" t="s">
        <v>182</v>
      </c>
    </row>
    <row r="9" spans="1:14" ht="13" thickBot="1" x14ac:dyDescent="0.3">
      <c r="A9" s="125" t="s">
        <v>6</v>
      </c>
      <c r="B9" s="20">
        <f>J55/1000000</f>
        <v>21.861750000000001</v>
      </c>
      <c r="C9" s="2"/>
      <c r="D9" s="38" t="s">
        <v>112</v>
      </c>
      <c r="E9" s="119">
        <f>K16</f>
        <v>0.4</v>
      </c>
      <c r="G9" s="38" t="s">
        <v>101</v>
      </c>
      <c r="H9" s="14">
        <v>80</v>
      </c>
      <c r="I9" s="5" t="s">
        <v>182</v>
      </c>
    </row>
    <row r="10" spans="1:14" x14ac:dyDescent="0.25">
      <c r="C10" s="36"/>
      <c r="D10" s="38" t="s">
        <v>123</v>
      </c>
      <c r="E10" s="120">
        <f>K22</f>
        <v>0.4</v>
      </c>
      <c r="G10" s="38" t="s">
        <v>102</v>
      </c>
      <c r="H10" s="14">
        <v>2</v>
      </c>
    </row>
    <row r="11" spans="1:14" ht="24.75" customHeight="1" thickBot="1" x14ac:dyDescent="0.3">
      <c r="C11" s="36"/>
      <c r="D11" s="116" t="s">
        <v>130</v>
      </c>
      <c r="E11" s="121">
        <f>K26</f>
        <v>0.95000000000000007</v>
      </c>
    </row>
    <row r="12" spans="1:14" ht="13.5" thickBot="1" x14ac:dyDescent="0.3">
      <c r="A12" s="135" t="s">
        <v>17</v>
      </c>
      <c r="B12" s="105"/>
      <c r="C12" s="17"/>
      <c r="D12" s="17"/>
      <c r="E12"/>
    </row>
    <row r="13" spans="1:14" ht="13.15" customHeight="1" x14ac:dyDescent="0.25">
      <c r="A13" s="285" t="s">
        <v>183</v>
      </c>
      <c r="B13" s="286"/>
      <c r="C13" s="111"/>
      <c r="D13" s="111"/>
      <c r="E13"/>
    </row>
    <row r="14" spans="1:14" ht="13.9" customHeight="1" thickBot="1" x14ac:dyDescent="0.3">
      <c r="A14" s="250"/>
      <c r="B14" s="252"/>
      <c r="D14" s="111"/>
      <c r="E14"/>
    </row>
    <row r="15" spans="1:14" ht="16" thickBot="1" x14ac:dyDescent="0.4">
      <c r="A15" s="250"/>
      <c r="B15" s="252"/>
      <c r="C15" s="111"/>
      <c r="D15" s="111"/>
      <c r="E15"/>
      <c r="G15" s="31" t="s">
        <v>32</v>
      </c>
      <c r="H15" s="32"/>
      <c r="I15" s="33" t="s">
        <v>1</v>
      </c>
      <c r="J15" s="34" t="s">
        <v>0</v>
      </c>
      <c r="K15" s="35" t="s">
        <v>2</v>
      </c>
    </row>
    <row r="16" spans="1:14" ht="28.5" thickBot="1" x14ac:dyDescent="0.35">
      <c r="A16" s="253"/>
      <c r="B16" s="255"/>
      <c r="C16" s="111"/>
      <c r="D16" s="111"/>
      <c r="E16"/>
      <c r="G16" s="126" t="s">
        <v>112</v>
      </c>
      <c r="H16" s="58"/>
      <c r="I16" s="59">
        <f>Forside!E4</f>
        <v>0.25</v>
      </c>
      <c r="J16" s="58"/>
      <c r="K16" s="60">
        <f>IF(J17="","",SUM(K17:K21))</f>
        <v>0.4</v>
      </c>
    </row>
    <row r="17" spans="1:11" ht="25.5" thickBot="1" x14ac:dyDescent="0.3">
      <c r="A17" s="5"/>
      <c r="B17" s="5"/>
      <c r="C17" s="5"/>
      <c r="D17" s="5"/>
      <c r="G17" s="61" t="s">
        <v>137</v>
      </c>
      <c r="H17" s="102">
        <f>IF(H10="","",H10)</f>
        <v>2</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1" t="s">
        <v>183</v>
      </c>
      <c r="B19" s="262"/>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3"/>
      <c r="B20" s="264"/>
      <c r="C20" s="112"/>
      <c r="D20" s="112"/>
      <c r="E20" s="39"/>
      <c r="G20" s="41" t="s">
        <v>89</v>
      </c>
      <c r="H20" s="104">
        <f>IF(H9="","",H9)</f>
        <v>80</v>
      </c>
      <c r="I20" s="85">
        <f>Forside!E8</f>
        <v>0.05</v>
      </c>
      <c r="J20" s="66">
        <f>IF(H20="","",IF(H19="","",IF(H20&lt;=H19,0,IF(H20&lt;H19*1.05,1,IF(H20&lt;H19*1.1,2,IF(H20&lt;H19*1.15,3,IF(H20&gt;=H19*1.15,4,"")))))))</f>
        <v>0</v>
      </c>
      <c r="K20" s="65">
        <f t="shared" si="0"/>
        <v>0</v>
      </c>
    </row>
    <row r="21" spans="1:11" ht="16.5" thickBot="1" x14ac:dyDescent="0.3">
      <c r="A21" s="263"/>
      <c r="B21" s="264"/>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3"/>
      <c r="B22" s="264"/>
      <c r="C22" s="112"/>
      <c r="D22" s="112"/>
      <c r="E22" s="39"/>
      <c r="G22" s="57" t="s">
        <v>123</v>
      </c>
      <c r="H22" s="68"/>
      <c r="I22" s="59">
        <f>Forside!E10</f>
        <v>0.25</v>
      </c>
      <c r="J22" s="68"/>
      <c r="K22" s="69">
        <f>IF(J23="","",SUM(K23:K25))</f>
        <v>0.4</v>
      </c>
    </row>
    <row r="23" spans="1:11" ht="25.5" thickBot="1" x14ac:dyDescent="0.35">
      <c r="A23" s="265"/>
      <c r="B23" s="266"/>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55</v>
      </c>
      <c r="I25" s="85">
        <f>Forside!E13</f>
        <v>0.05</v>
      </c>
      <c r="J25" s="77">
        <f>IF(H25=A102,B102,IF(H25=A101,B101,IF(H25=A100,B100,IF(H25=A99,B99,IF(H25=A98,B98,"")))))</f>
        <v>2</v>
      </c>
      <c r="K25" s="78">
        <f t="shared" si="0"/>
        <v>0.1</v>
      </c>
    </row>
    <row r="26" spans="1:11" ht="16.5" thickBot="1" x14ac:dyDescent="0.35">
      <c r="A26" s="154" t="s">
        <v>184</v>
      </c>
      <c r="B26" s="155" t="s">
        <v>184</v>
      </c>
      <c r="C26" s="155">
        <v>10</v>
      </c>
      <c r="D26" s="156"/>
      <c r="E26" s="39"/>
      <c r="G26" s="57" t="s">
        <v>130</v>
      </c>
      <c r="H26" s="58"/>
      <c r="I26" s="59">
        <f>Forside!E14</f>
        <v>0.5</v>
      </c>
      <c r="J26" s="58"/>
      <c r="K26" s="60">
        <f>IF(J27="","",SUM(K27:K29))</f>
        <v>0.95000000000000007</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1.75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429</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180</v>
      </c>
      <c r="H46" s="141">
        <v>5500</v>
      </c>
      <c r="I46" s="141">
        <f>Enhedspriser!C3</f>
        <v>3750</v>
      </c>
      <c r="J46" s="145">
        <f>H46*I46</f>
        <v>20625000</v>
      </c>
      <c r="L46" s="250" t="s">
        <v>172</v>
      </c>
      <c r="M46" s="251"/>
      <c r="N46" s="252"/>
    </row>
    <row r="47" spans="6:14" ht="12.75" customHeight="1" x14ac:dyDescent="0.3">
      <c r="G47" s="140" t="s">
        <v>55</v>
      </c>
      <c r="H47" s="141">
        <v>2</v>
      </c>
      <c r="I47" s="141">
        <f>Enhedspriser!C7</f>
        <v>300000</v>
      </c>
      <c r="J47" s="145">
        <f>H47*I47</f>
        <v>600000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636750</v>
      </c>
    </row>
    <row r="55" spans="1:17" ht="27.75" customHeight="1" thickBot="1" x14ac:dyDescent="0.35">
      <c r="G55" s="149" t="s">
        <v>175</v>
      </c>
      <c r="H55" s="150"/>
      <c r="I55" s="150"/>
      <c r="J55" s="146">
        <f>SUM(J46:J54)</f>
        <v>21861750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L45:N45"/>
    <mergeCell ref="L46:N52"/>
    <mergeCell ref="A19:B23"/>
    <mergeCell ref="A13:B16"/>
  </mergeCells>
  <dataValidations count="9">
    <dataValidation type="list" allowBlank="1" showInputMessage="1" showErrorMessage="1" sqref="H27" xr:uid="{692FDCC9-763F-455E-98BE-3A2F6EC4EF20}">
      <formula1>$A$113:$A$117</formula1>
    </dataValidation>
    <dataValidation type="list" allowBlank="1" showInputMessage="1" showErrorMessage="1" sqref="H25" xr:uid="{FD01C088-C012-4418-BAFF-D315F82DDB33}">
      <formula1>$A$97:$A$102</formula1>
    </dataValidation>
    <dataValidation type="list" allowBlank="1" showInputMessage="1" showErrorMessage="1" sqref="H21" xr:uid="{85E46D7C-9C65-46A0-83A1-F07A5B23EDF1}">
      <formula1>$A$106:$A$110</formula1>
    </dataValidation>
    <dataValidation type="list" allowBlank="1" showInputMessage="1" showErrorMessage="1" sqref="H28" xr:uid="{201E996C-7931-4C75-B2AB-7B495B0449FA}">
      <formula1>$A$128:$A$132</formula1>
    </dataValidation>
    <dataValidation type="list" allowBlank="1" showInputMessage="1" showErrorMessage="1" sqref="H24" xr:uid="{1D7ED885-E8FC-4B2B-BD3A-1C4EFCD394B0}">
      <formula1>$A$137:$A$141</formula1>
    </dataValidation>
    <dataValidation type="list" allowBlank="1" showInputMessage="1" showErrorMessage="1" sqref="H29" xr:uid="{48F74F64-33C2-4466-A1BE-A71D5BD6B8F8}">
      <formula1>$A$120:$A$124</formula1>
    </dataValidation>
    <dataValidation type="list" allowBlank="1" showInputMessage="1" showErrorMessage="1" sqref="H7" xr:uid="{B02645DC-A279-4832-AD60-9D5B9631DA08}">
      <formula1>$A$69:$A$78</formula1>
    </dataValidation>
    <dataValidation type="list" allowBlank="1" showInputMessage="1" showErrorMessage="1" sqref="H23" xr:uid="{3A6E1D23-B481-4CA7-85B1-9ED0C456DC22}">
      <formula1>$A$88:$A$92</formula1>
    </dataValidation>
    <dataValidation type="list" allowBlank="1" showInputMessage="1" showErrorMessage="1" sqref="H5" xr:uid="{5429748C-4D6C-461A-ADC7-73C2938E4498}">
      <formula1>$A$81:$A$85</formula1>
    </dataValidation>
  </dataValidations>
  <hyperlinks>
    <hyperlink ref="C5" r:id="rId1" xr:uid="{62A27BD9-0F72-4CAB-9301-9EAC0A828056}"/>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723633-78C9-4CD5-BCAE-F89C642179F5}">
  <sheetPr codeName="Sheet107"/>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53</v>
      </c>
      <c r="C4" s="151"/>
      <c r="D4" s="38" t="s">
        <v>2</v>
      </c>
      <c r="E4" s="115">
        <f>IF(K30&gt;0,K30,"")</f>
        <v>0.89999999999999991</v>
      </c>
      <c r="G4" s="133" t="s">
        <v>173</v>
      </c>
      <c r="H4" s="124"/>
      <c r="L4" s="139" t="s">
        <v>5</v>
      </c>
      <c r="M4" s="284" t="s">
        <v>466</v>
      </c>
      <c r="N4" s="260"/>
    </row>
    <row r="5" spans="1:14" ht="25" x14ac:dyDescent="0.25">
      <c r="A5" s="37" t="s">
        <v>96</v>
      </c>
      <c r="B5" s="18" t="s">
        <v>414</v>
      </c>
      <c r="C5" s="164" t="s">
        <v>415</v>
      </c>
      <c r="D5" s="38" t="s">
        <v>84</v>
      </c>
      <c r="E5" s="115">
        <f>IF(B9&gt;0,E4/B9,"")</f>
        <v>0.51779935275080902</v>
      </c>
      <c r="G5" s="122" t="s">
        <v>98</v>
      </c>
      <c r="H5" s="123" t="s">
        <v>68</v>
      </c>
    </row>
    <row r="6" spans="1:14" ht="13" thickBot="1" x14ac:dyDescent="0.3">
      <c r="A6" s="38" t="s">
        <v>97</v>
      </c>
      <c r="B6" s="19" t="s">
        <v>414</v>
      </c>
      <c r="C6" s="151"/>
      <c r="D6" s="116" t="s">
        <v>85</v>
      </c>
      <c r="E6" s="117">
        <f>IF(E4="","",IF(E4&gt;=Forside!$H$7,4,IF(E4&gt;=Forside!$H$8,3,IF(E4&gt;=Forside!$H$9,2,IF(E4&gt;0,1,"")))))</f>
        <v>2</v>
      </c>
      <c r="G6" s="38" t="s">
        <v>99</v>
      </c>
      <c r="H6" s="40">
        <v>5</v>
      </c>
    </row>
    <row r="7" spans="1:14" ht="13" thickBot="1" x14ac:dyDescent="0.3">
      <c r="A7" s="38" t="s">
        <v>77</v>
      </c>
      <c r="B7" s="19" t="s">
        <v>416</v>
      </c>
      <c r="C7" s="151"/>
      <c r="D7" s="27"/>
      <c r="E7" s="28"/>
      <c r="G7" s="17" t="s">
        <v>66</v>
      </c>
      <c r="H7" s="42">
        <v>50</v>
      </c>
    </row>
    <row r="8" spans="1:14" ht="13" x14ac:dyDescent="0.3">
      <c r="A8" s="38" t="s">
        <v>91</v>
      </c>
      <c r="B8" s="14">
        <v>0.45</v>
      </c>
      <c r="C8" s="2"/>
      <c r="D8" s="118" t="s">
        <v>87</v>
      </c>
      <c r="E8" s="114"/>
      <c r="G8" s="38" t="s">
        <v>100</v>
      </c>
      <c r="H8" s="14">
        <v>35</v>
      </c>
    </row>
    <row r="9" spans="1:14" ht="13" thickBot="1" x14ac:dyDescent="0.3">
      <c r="A9" s="125" t="s">
        <v>6</v>
      </c>
      <c r="B9" s="20">
        <f>J55/1000000</f>
        <v>1.7381249999999999</v>
      </c>
      <c r="C9" s="2"/>
      <c r="D9" s="38" t="s">
        <v>112</v>
      </c>
      <c r="E9" s="119">
        <f>K16</f>
        <v>0.2</v>
      </c>
      <c r="G9" s="38" t="s">
        <v>101</v>
      </c>
      <c r="H9" s="14">
        <v>40</v>
      </c>
    </row>
    <row r="10" spans="1:14" x14ac:dyDescent="0.25">
      <c r="C10" s="36"/>
      <c r="D10" s="38" t="s">
        <v>123</v>
      </c>
      <c r="E10" s="120">
        <f>K22</f>
        <v>0.5</v>
      </c>
      <c r="G10" s="38" t="s">
        <v>102</v>
      </c>
      <c r="H10" s="14">
        <v>0</v>
      </c>
    </row>
    <row r="11" spans="1:14" ht="24.75" customHeight="1" thickBot="1" x14ac:dyDescent="0.3">
      <c r="C11" s="36"/>
      <c r="D11" s="116" t="s">
        <v>130</v>
      </c>
      <c r="E11" s="121">
        <f>K26</f>
        <v>0.2</v>
      </c>
    </row>
    <row r="12" spans="1:14" ht="13.5" thickBot="1" x14ac:dyDescent="0.3">
      <c r="A12" s="135" t="s">
        <v>17</v>
      </c>
      <c r="B12" s="105"/>
      <c r="C12" s="17"/>
      <c r="D12" s="17"/>
      <c r="E12"/>
    </row>
    <row r="13" spans="1:14" ht="13" x14ac:dyDescent="0.25">
      <c r="A13" s="261" t="s">
        <v>417</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0.2</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&lt;250</v>
      </c>
      <c r="I18" s="85">
        <f>Forside!E6</f>
        <v>0.05</v>
      </c>
      <c r="J18" s="64">
        <f>IF(H18="","",IF(H18="&lt;250",0,IF(H18="250-999",1,IF(H18="1000-2499",2,IF(H18="2500-4999",3,IF(H18="&gt;=5000",4,""))))))</f>
        <v>0</v>
      </c>
      <c r="K18" s="65">
        <f t="shared" si="0"/>
        <v>0</v>
      </c>
    </row>
    <row r="19" spans="1:11" ht="15.75" customHeight="1" thickBot="1" x14ac:dyDescent="0.3">
      <c r="A19" s="267"/>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40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0.5</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80</v>
      </c>
      <c r="I24" s="85">
        <f>Forside!E12</f>
        <v>0.1</v>
      </c>
      <c r="J24" s="64">
        <f>IF(H24=A137,B137,IF(H24=A138,B138,(IF(H24=A139,B139,(IF(H24=A140,B140,(IF(H24=A141,B141,""))))))))</f>
        <v>3</v>
      </c>
      <c r="K24" s="65">
        <f t="shared" si="0"/>
        <v>0.30000000000000004</v>
      </c>
    </row>
    <row r="25" spans="1:11" ht="16.5" thickBot="1" x14ac:dyDescent="0.35">
      <c r="A25" s="49" t="s">
        <v>92</v>
      </c>
      <c r="B25" s="51" t="s">
        <v>93</v>
      </c>
      <c r="C25" s="51" t="s">
        <v>94</v>
      </c>
      <c r="D25" s="50" t="s">
        <v>95</v>
      </c>
      <c r="E25" s="39"/>
      <c r="G25" s="75" t="s">
        <v>104</v>
      </c>
      <c r="H25" s="76" t="s">
        <v>53</v>
      </c>
      <c r="I25" s="85">
        <f>Forside!E13</f>
        <v>0.05</v>
      </c>
      <c r="J25" s="77">
        <f>IF(H25=A102,B102,IF(H25=A101,B101,IF(H25=A100,B100,IF(H25=A99,B99,IF(H25=A98,B98,"")))))</f>
        <v>0</v>
      </c>
      <c r="K25" s="78">
        <f t="shared" si="0"/>
        <v>0</v>
      </c>
    </row>
    <row r="26" spans="1:11" ht="16.5" thickBot="1" x14ac:dyDescent="0.35">
      <c r="A26" s="154" t="s">
        <v>184</v>
      </c>
      <c r="B26" s="155" t="s">
        <v>184</v>
      </c>
      <c r="C26" s="155">
        <v>0</v>
      </c>
      <c r="D26" s="156">
        <v>0</v>
      </c>
      <c r="E26" s="39"/>
      <c r="G26" s="57" t="s">
        <v>130</v>
      </c>
      <c r="H26" s="58"/>
      <c r="I26" s="59">
        <f>Forside!E14</f>
        <v>0.5</v>
      </c>
      <c r="J26" s="58"/>
      <c r="K26" s="60">
        <f>IF(J27="","",SUM(K27:K29))</f>
        <v>0.2</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53</v>
      </c>
      <c r="I28" s="85">
        <f>Forside!E16</f>
        <v>0.05</v>
      </c>
      <c r="J28" s="128">
        <f>IF(H28=A128,B128,IF(H28=A129,B129,(IF(H28=A130,B130,(IF(H28=A131,B131,(IF(H28=A132,B132,""))))))))</f>
        <v>0</v>
      </c>
      <c r="K28" s="131">
        <f t="shared" si="0"/>
        <v>0</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0.89999999999999991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463</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416</v>
      </c>
      <c r="H46" s="141">
        <v>450</v>
      </c>
      <c r="I46" s="141">
        <f>Enhedspriser!C3</f>
        <v>3750</v>
      </c>
      <c r="J46" s="145">
        <f>H46*I46</f>
        <v>1687500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50625</v>
      </c>
    </row>
    <row r="55" spans="1:17" ht="27.75" customHeight="1" thickBot="1" x14ac:dyDescent="0.35">
      <c r="G55" s="149" t="s">
        <v>175</v>
      </c>
      <c r="H55" s="150"/>
      <c r="I55" s="150"/>
      <c r="J55" s="146">
        <f>SUM(J46:J54)</f>
        <v>1738125</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0354894A-7D64-481D-8A67-4F21BB182B4E}">
      <formula1>$A$113:$A$117</formula1>
    </dataValidation>
    <dataValidation type="list" allowBlank="1" showInputMessage="1" showErrorMessage="1" sqref="H25" xr:uid="{9184D6CC-33FB-4C4D-AD67-C033BB6C8E52}">
      <formula1>$A$97:$A$102</formula1>
    </dataValidation>
    <dataValidation type="list" allowBlank="1" showInputMessage="1" showErrorMessage="1" sqref="H21" xr:uid="{81E7B125-DCA2-4347-B3D7-1EAFAC20AFC5}">
      <formula1>$A$106:$A$110</formula1>
    </dataValidation>
    <dataValidation type="list" allowBlank="1" showInputMessage="1" showErrorMessage="1" sqref="H28" xr:uid="{0C8E1DE3-661B-4F3D-A13A-3DB3502A2A58}">
      <formula1>$A$128:$A$132</formula1>
    </dataValidation>
    <dataValidation type="list" allowBlank="1" showInputMessage="1" showErrorMessage="1" sqref="H24" xr:uid="{6BD789BD-555B-4469-B800-565CB009926E}">
      <formula1>$A$137:$A$141</formula1>
    </dataValidation>
    <dataValidation type="list" allowBlank="1" showInputMessage="1" showErrorMessage="1" sqref="H29" xr:uid="{78144252-F53A-4BC1-B165-E724DC3AE6C0}">
      <formula1>$A$120:$A$124</formula1>
    </dataValidation>
    <dataValidation type="list" allowBlank="1" showInputMessage="1" showErrorMessage="1" sqref="H7" xr:uid="{CC8EB573-8176-4B5D-987B-787655751594}">
      <formula1>$A$69:$A$78</formula1>
    </dataValidation>
    <dataValidation type="list" allowBlank="1" showInputMessage="1" showErrorMessage="1" sqref="H23" xr:uid="{D96E02CA-F598-43C6-9E63-F80310A96159}">
      <formula1>$A$88:$A$92</formula1>
    </dataValidation>
    <dataValidation type="list" allowBlank="1" showInputMessage="1" showErrorMessage="1" sqref="H5" xr:uid="{2076A4A5-6B10-489B-B0EB-4F233AA2F7BB}">
      <formula1>$A$81:$A$85</formula1>
    </dataValidation>
  </dataValidations>
  <hyperlinks>
    <hyperlink ref="C5" r:id="rId1" xr:uid="{DF3B8CF9-90C3-4BE0-A8E3-6A05550C8B82}"/>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C309EC-E18F-4326-86DF-57054E1B9F52}">
  <sheetPr codeName="Sheet108"/>
  <dimension ref="A1:Q174"/>
  <sheetViews>
    <sheetView view="pageLayout" topLeftCell="A3"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54</v>
      </c>
      <c r="C4" s="151"/>
      <c r="D4" s="38" t="s">
        <v>2</v>
      </c>
      <c r="E4" s="115">
        <f>IF(K30&gt;0,K30,"")</f>
        <v>1.65</v>
      </c>
      <c r="G4" s="133" t="s">
        <v>173</v>
      </c>
      <c r="H4" s="124"/>
      <c r="L4" s="139" t="s">
        <v>5</v>
      </c>
      <c r="M4" s="284" t="s">
        <v>466</v>
      </c>
      <c r="N4" s="260"/>
    </row>
    <row r="5" spans="1:14" ht="25" x14ac:dyDescent="0.25">
      <c r="A5" s="37" t="s">
        <v>96</v>
      </c>
      <c r="B5" s="18" t="s">
        <v>418</v>
      </c>
      <c r="C5" s="164" t="s">
        <v>419</v>
      </c>
      <c r="D5" s="38" t="s">
        <v>84</v>
      </c>
      <c r="E5" s="115">
        <f>IF(B9&gt;0,E4/B9,"")</f>
        <v>0.58252427184466016</v>
      </c>
      <c r="G5" s="122" t="s">
        <v>98</v>
      </c>
      <c r="H5" s="123" t="s">
        <v>148</v>
      </c>
      <c r="I5" s="158" t="s">
        <v>421</v>
      </c>
    </row>
    <row r="6" spans="1:14" ht="38" thickBot="1" x14ac:dyDescent="0.3">
      <c r="A6" s="38" t="s">
        <v>97</v>
      </c>
      <c r="B6" s="19" t="s">
        <v>420</v>
      </c>
      <c r="C6" s="151"/>
      <c r="D6" s="116" t="s">
        <v>85</v>
      </c>
      <c r="E6" s="117">
        <f>IF(E4="","",IF(E4&gt;=Forside!$H$7,4,IF(E4&gt;=Forside!$H$8,3,IF(E4&gt;=Forside!$H$9,2,IF(E4&gt;0,1,"")))))</f>
        <v>3</v>
      </c>
      <c r="G6" s="38" t="s">
        <v>99</v>
      </c>
      <c r="H6" s="40">
        <v>50</v>
      </c>
    </row>
    <row r="7" spans="1:14" ht="13" thickBot="1" x14ac:dyDescent="0.3">
      <c r="A7" s="38" t="s">
        <v>77</v>
      </c>
      <c r="B7" s="19" t="s">
        <v>207</v>
      </c>
      <c r="C7" s="151"/>
      <c r="D7" s="27"/>
      <c r="E7" s="28"/>
      <c r="G7" s="17" t="s">
        <v>66</v>
      </c>
      <c r="H7" s="42">
        <v>50</v>
      </c>
    </row>
    <row r="8" spans="1:14" ht="13" x14ac:dyDescent="0.3">
      <c r="A8" s="38" t="s">
        <v>91</v>
      </c>
      <c r="B8" s="14">
        <v>0.3</v>
      </c>
      <c r="C8" s="2"/>
      <c r="D8" s="118" t="s">
        <v>87</v>
      </c>
      <c r="E8" s="114"/>
      <c r="G8" s="38" t="s">
        <v>100</v>
      </c>
      <c r="H8" s="14">
        <v>45</v>
      </c>
    </row>
    <row r="9" spans="1:14" ht="13" thickBot="1" x14ac:dyDescent="0.3">
      <c r="A9" s="125" t="s">
        <v>6</v>
      </c>
      <c r="B9" s="20">
        <f>J55/1000000</f>
        <v>2.8325</v>
      </c>
      <c r="C9" s="2"/>
      <c r="D9" s="38" t="s">
        <v>112</v>
      </c>
      <c r="E9" s="119">
        <f>K16</f>
        <v>0.2</v>
      </c>
      <c r="G9" s="38" t="s">
        <v>101</v>
      </c>
      <c r="H9" s="14">
        <v>50</v>
      </c>
    </row>
    <row r="10" spans="1:14" x14ac:dyDescent="0.25">
      <c r="C10" s="36"/>
      <c r="D10" s="38" t="s">
        <v>123</v>
      </c>
      <c r="E10" s="120">
        <f>K22</f>
        <v>0.5</v>
      </c>
      <c r="G10" s="38" t="s">
        <v>102</v>
      </c>
      <c r="H10" s="14">
        <v>0</v>
      </c>
    </row>
    <row r="11" spans="1:14" ht="24.75" customHeight="1" thickBot="1" x14ac:dyDescent="0.3">
      <c r="C11" s="36"/>
      <c r="D11" s="116" t="s">
        <v>130</v>
      </c>
      <c r="E11" s="121">
        <f>K26</f>
        <v>0.95000000000000007</v>
      </c>
    </row>
    <row r="12" spans="1:14" ht="13.5" thickBot="1" x14ac:dyDescent="0.3">
      <c r="A12" s="135" t="s">
        <v>17</v>
      </c>
      <c r="B12" s="105"/>
      <c r="C12" s="17"/>
      <c r="D12" s="17"/>
      <c r="E12"/>
    </row>
    <row r="13" spans="1:14" ht="13" x14ac:dyDescent="0.25">
      <c r="A13" s="261" t="s">
        <v>422</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0.2</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c r="B19" s="268"/>
      <c r="C19" s="112"/>
      <c r="D19" s="112"/>
      <c r="E19" s="39"/>
      <c r="G19" s="41" t="s">
        <v>66</v>
      </c>
      <c r="H19" s="104">
        <f>IF(H7="","",H7)</f>
        <v>50</v>
      </c>
      <c r="I19" s="85">
        <f>Forside!E7</f>
        <v>0.05</v>
      </c>
      <c r="J19" s="64">
        <f>IF(H19=A69,B69,IF(H19=A70,B70,IF(H19=A71,B71,IF(H19=A72,B72,IF(H19=A73,B73,IF(H19=A74,B74,IF(H19=A75,B75,IF(H19=A76,B76,IF(H19=A77,B77,IF(H19=A78,B78,""))))))))))</f>
        <v>1</v>
      </c>
      <c r="K19" s="65">
        <f t="shared" si="0"/>
        <v>0.05</v>
      </c>
    </row>
    <row r="20" spans="1:11" ht="15.75" customHeight="1" thickBot="1" x14ac:dyDescent="0.3">
      <c r="A20" s="269"/>
      <c r="B20" s="270"/>
      <c r="C20" s="112"/>
      <c r="D20" s="112"/>
      <c r="E20" s="39"/>
      <c r="G20" s="41" t="s">
        <v>89</v>
      </c>
      <c r="H20" s="104">
        <f>IF(H9="","",H9)</f>
        <v>50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0.5</v>
      </c>
    </row>
    <row r="23" spans="1:11" ht="25.5" thickBot="1" x14ac:dyDescent="0.35">
      <c r="A23" s="271"/>
      <c r="B23" s="272"/>
      <c r="C23" s="112"/>
      <c r="D23" s="112"/>
      <c r="G23" s="70" t="s">
        <v>77</v>
      </c>
      <c r="H23" s="71" t="s">
        <v>50</v>
      </c>
      <c r="I23" s="85">
        <f>Forside!E11</f>
        <v>0.1</v>
      </c>
      <c r="J23" s="72">
        <f>IF(H23=A88,B88,IF(H23=A89,B89,(IF(H23=A90,B90,(IF(H23=A91,B91,(IF(H23=A92,B92,""))))))))</f>
        <v>3</v>
      </c>
      <c r="K23" s="73">
        <f t="shared" si="0"/>
        <v>0.30000000000000004</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55</v>
      </c>
      <c r="I25" s="85">
        <f>Forside!E13</f>
        <v>0.05</v>
      </c>
      <c r="J25" s="77">
        <f>IF(H25=A102,B102,IF(H25=A101,B101,IF(H25=A100,B100,IF(H25=A99,B99,IF(H25=A98,B98,"")))))</f>
        <v>2</v>
      </c>
      <c r="K25" s="78">
        <f t="shared" si="0"/>
        <v>0.1</v>
      </c>
    </row>
    <row r="26" spans="1:11" ht="16.5" thickBot="1" x14ac:dyDescent="0.35">
      <c r="A26" s="110"/>
      <c r="B26" s="47"/>
      <c r="C26" s="47"/>
      <c r="D26" s="48"/>
      <c r="E26" s="39"/>
      <c r="G26" s="57" t="s">
        <v>130</v>
      </c>
      <c r="H26" s="58"/>
      <c r="I26" s="59">
        <f>Forside!E14</f>
        <v>0.5</v>
      </c>
      <c r="J26" s="58"/>
      <c r="K26" s="60">
        <f>IF(J27="","",SUM(K27:K29))</f>
        <v>0.95000000000000007</v>
      </c>
    </row>
    <row r="27" spans="1:11" ht="16.5" thickBot="1" x14ac:dyDescent="0.35">
      <c r="E27" s="39"/>
      <c r="G27" s="79" t="s">
        <v>141</v>
      </c>
      <c r="H27" s="80" t="s">
        <v>108</v>
      </c>
      <c r="I27" s="85">
        <f>Forside!E15</f>
        <v>0.25</v>
      </c>
      <c r="J27" s="127">
        <f>IF(H27=A113,B113,IF(H27=A114,B114,(IF(H27=A115,B115,(IF(H27=A116,B116,(IF(H27=A117,B117,""))))))))</f>
        <v>1</v>
      </c>
      <c r="K27" s="130">
        <f t="shared" si="0"/>
        <v>0.25</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1.65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454</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207</v>
      </c>
      <c r="H46" s="141">
        <v>300</v>
      </c>
      <c r="I46" s="141">
        <v>6500</v>
      </c>
      <c r="J46" s="145">
        <f>H46*I46</f>
        <v>1950000</v>
      </c>
      <c r="K46" s="5" t="s">
        <v>423</v>
      </c>
      <c r="L46" s="250" t="s">
        <v>172</v>
      </c>
      <c r="M46" s="251"/>
      <c r="N46" s="252"/>
    </row>
    <row r="47" spans="6:14" ht="12.75" customHeight="1" x14ac:dyDescent="0.3">
      <c r="G47" s="140" t="s">
        <v>55</v>
      </c>
      <c r="H47" s="141">
        <v>1</v>
      </c>
      <c r="I47" s="141">
        <f>Enhedspriser!C7</f>
        <v>300000</v>
      </c>
      <c r="J47" s="145">
        <f>H47*I47</f>
        <v>300000</v>
      </c>
      <c r="L47" s="250"/>
      <c r="M47" s="251"/>
      <c r="N47" s="252"/>
    </row>
    <row r="48" spans="6:14" ht="13" x14ac:dyDescent="0.3">
      <c r="G48" s="140" t="s">
        <v>165</v>
      </c>
      <c r="H48" s="141">
        <v>1</v>
      </c>
      <c r="I48" s="141">
        <v>500000</v>
      </c>
      <c r="J48" s="145">
        <f t="shared" ref="J48:J53" si="1">H48*I48</f>
        <v>500000</v>
      </c>
      <c r="K48" s="5" t="s">
        <v>182</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82500</v>
      </c>
    </row>
    <row r="55" spans="1:17" ht="27.75" customHeight="1" thickBot="1" x14ac:dyDescent="0.35">
      <c r="G55" s="149" t="s">
        <v>175</v>
      </c>
      <c r="H55" s="150"/>
      <c r="I55" s="150"/>
      <c r="J55" s="146">
        <f>SUM(J46:J54)</f>
        <v>2832500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F92B0968-F236-4BA7-B7C9-1B7609A63C89}">
      <formula1>$A$113:$A$117</formula1>
    </dataValidation>
    <dataValidation type="list" allowBlank="1" showInputMessage="1" showErrorMessage="1" sqref="H25" xr:uid="{C923017E-5BBF-4224-83CD-9B8B8899B8B3}">
      <formula1>$A$97:$A$102</formula1>
    </dataValidation>
    <dataValidation type="list" allowBlank="1" showInputMessage="1" showErrorMessage="1" sqref="H21" xr:uid="{3961F4EB-70AD-4717-968F-70D550460EB5}">
      <formula1>$A$106:$A$110</formula1>
    </dataValidation>
    <dataValidation type="list" allowBlank="1" showInputMessage="1" showErrorMessage="1" sqref="H28" xr:uid="{1D381FDF-F62E-4CD4-A746-B612C48CC435}">
      <formula1>$A$128:$A$132</formula1>
    </dataValidation>
    <dataValidation type="list" allowBlank="1" showInputMessage="1" showErrorMessage="1" sqref="H24" xr:uid="{DA8F2855-FD26-492F-A2A7-3A291876F9B8}">
      <formula1>$A$137:$A$141</formula1>
    </dataValidation>
    <dataValidation type="list" allowBlank="1" showInputMessage="1" showErrorMessage="1" sqref="H29" xr:uid="{E2072C12-B666-41DC-AC07-37D39F4BE263}">
      <formula1>$A$120:$A$124</formula1>
    </dataValidation>
    <dataValidation type="list" allowBlank="1" showInputMessage="1" showErrorMessage="1" sqref="H7" xr:uid="{AAA7EB1A-2F77-4280-A69F-E8B351A8EA04}">
      <formula1>$A$69:$A$78</formula1>
    </dataValidation>
    <dataValidation type="list" allowBlank="1" showInputMessage="1" showErrorMessage="1" sqref="H23" xr:uid="{140B9A03-F467-4AB8-B989-891582BD012E}">
      <formula1>$A$88:$A$92</formula1>
    </dataValidation>
    <dataValidation type="list" allowBlank="1" showInputMessage="1" showErrorMessage="1" sqref="H5" xr:uid="{BC095373-17F4-49FD-8832-BAF9DBAF208F}">
      <formula1>$A$81:$A$85</formula1>
    </dataValidation>
  </dataValidations>
  <hyperlinks>
    <hyperlink ref="C5" r:id="rId1" xr:uid="{7BFF7A08-1577-432E-AEF5-6512DD00125A}"/>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FD4E74-3F71-46BD-A50D-2AE3D06AA18F}">
  <sheetPr codeName="Sheet109"/>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55</v>
      </c>
      <c r="C4" s="151"/>
      <c r="D4" s="38" t="s">
        <v>2</v>
      </c>
      <c r="E4" s="115">
        <f>IF(K30&gt;0,K30,"")</f>
        <v>1.3</v>
      </c>
      <c r="G4" s="133" t="s">
        <v>173</v>
      </c>
      <c r="H4" s="124"/>
      <c r="L4" s="139" t="s">
        <v>5</v>
      </c>
      <c r="M4" s="284" t="s">
        <v>466</v>
      </c>
      <c r="N4" s="260"/>
    </row>
    <row r="5" spans="1:14" ht="25" x14ac:dyDescent="0.25">
      <c r="A5" s="37" t="s">
        <v>96</v>
      </c>
      <c r="B5" s="18" t="s">
        <v>424</v>
      </c>
      <c r="C5" s="164" t="s">
        <v>425</v>
      </c>
      <c r="D5" s="38" t="s">
        <v>84</v>
      </c>
      <c r="E5" s="115">
        <f>IF(B9&gt;0,E4/B9,"")</f>
        <v>0.84142394822006483</v>
      </c>
      <c r="G5" s="122" t="s">
        <v>98</v>
      </c>
      <c r="H5" s="123" t="s">
        <v>68</v>
      </c>
      <c r="I5" s="5" t="s">
        <v>182</v>
      </c>
    </row>
    <row r="6" spans="1:14" ht="13" thickBot="1" x14ac:dyDescent="0.3">
      <c r="A6" s="38" t="s">
        <v>97</v>
      </c>
      <c r="B6" s="19" t="s">
        <v>424</v>
      </c>
      <c r="C6" s="151"/>
      <c r="D6" s="116" t="s">
        <v>85</v>
      </c>
      <c r="E6" s="117">
        <f>IF(E4="","",IF(E4&gt;=Forside!$H$7,4,IF(E4&gt;=Forside!$H$8,3,IF(E4&gt;=Forside!$H$9,2,IF(E4&gt;0,1,"")))))</f>
        <v>2</v>
      </c>
      <c r="G6" s="38" t="s">
        <v>99</v>
      </c>
      <c r="H6" s="40">
        <v>25</v>
      </c>
      <c r="I6" s="5" t="s">
        <v>182</v>
      </c>
    </row>
    <row r="7" spans="1:14" ht="13" thickBot="1" x14ac:dyDescent="0.3">
      <c r="A7" s="38" t="s">
        <v>77</v>
      </c>
      <c r="B7" s="19" t="s">
        <v>192</v>
      </c>
      <c r="C7" s="151"/>
      <c r="D7" s="27"/>
      <c r="E7" s="28"/>
      <c r="G7" s="17" t="s">
        <v>66</v>
      </c>
      <c r="H7" s="42">
        <v>30</v>
      </c>
    </row>
    <row r="8" spans="1:14" ht="13" x14ac:dyDescent="0.3">
      <c r="A8" s="38" t="s">
        <v>91</v>
      </c>
      <c r="B8" s="14">
        <v>0.4</v>
      </c>
      <c r="C8" s="2"/>
      <c r="D8" s="118" t="s">
        <v>87</v>
      </c>
      <c r="E8" s="114"/>
      <c r="G8" s="38" t="s">
        <v>100</v>
      </c>
      <c r="H8" s="14">
        <v>30</v>
      </c>
      <c r="I8" s="5" t="s">
        <v>404</v>
      </c>
    </row>
    <row r="9" spans="1:14" ht="13" thickBot="1" x14ac:dyDescent="0.3">
      <c r="A9" s="125" t="s">
        <v>6</v>
      </c>
      <c r="B9" s="20">
        <f>J55/1000000</f>
        <v>1.5449999999999999</v>
      </c>
      <c r="C9" s="2"/>
      <c r="D9" s="38" t="s">
        <v>112</v>
      </c>
      <c r="E9" s="119">
        <f>K16</f>
        <v>0</v>
      </c>
      <c r="G9" s="38" t="s">
        <v>101</v>
      </c>
      <c r="H9" s="14">
        <v>30</v>
      </c>
    </row>
    <row r="10" spans="1:14" x14ac:dyDescent="0.25">
      <c r="C10" s="36"/>
      <c r="D10" s="38" t="s">
        <v>123</v>
      </c>
      <c r="E10" s="120">
        <f>K22</f>
        <v>0.30000000000000004</v>
      </c>
      <c r="G10" s="38" t="s">
        <v>102</v>
      </c>
      <c r="H10" s="14">
        <v>0</v>
      </c>
    </row>
    <row r="11" spans="1:14" ht="24.75" customHeight="1" thickBot="1" x14ac:dyDescent="0.3">
      <c r="C11" s="36"/>
      <c r="D11" s="116" t="s">
        <v>130</v>
      </c>
      <c r="E11" s="121">
        <f>K26</f>
        <v>1</v>
      </c>
    </row>
    <row r="12" spans="1:14" ht="13.5" thickBot="1" x14ac:dyDescent="0.3">
      <c r="A12" s="135" t="s">
        <v>17</v>
      </c>
      <c r="B12" s="105"/>
      <c r="C12" s="17"/>
      <c r="D12" s="17"/>
      <c r="E12"/>
    </row>
    <row r="13" spans="1:14" ht="13" x14ac:dyDescent="0.25">
      <c r="A13" s="261" t="s">
        <v>426</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v>
      </c>
    </row>
    <row r="17" spans="1:11" ht="25.5" thickBot="1" x14ac:dyDescent="0.3">
      <c r="A17" s="5"/>
      <c r="B17" s="5"/>
      <c r="C17" s="5"/>
      <c r="D17" s="5"/>
      <c r="G17" s="61" t="s">
        <v>137</v>
      </c>
      <c r="H17" s="102">
        <f>IF(H10="","",H10)</f>
        <v>0</v>
      </c>
      <c r="I17" s="85">
        <f>Forside!E5</f>
        <v>0.05</v>
      </c>
      <c r="J17" s="62">
        <f>IF(H17="","",IF(H17=0,0,IF(H17&lt;3,1,IF(H17&lt;6,2,IF(H17&lt;10,3,IF(H17&gt;=10,4,""))))))</f>
        <v>0</v>
      </c>
      <c r="K17" s="63">
        <f t="shared" ref="K17:K29" si="0">IF(J17="","",J17*I17)</f>
        <v>0</v>
      </c>
    </row>
    <row r="18" spans="1:11" ht="12.75" customHeight="1" thickBot="1" x14ac:dyDescent="0.3">
      <c r="A18" s="136" t="s">
        <v>90</v>
      </c>
      <c r="B18" s="52"/>
      <c r="C18" s="109"/>
      <c r="D18" s="109"/>
      <c r="G18" s="41" t="s">
        <v>138</v>
      </c>
      <c r="H18" s="103" t="str">
        <f>IF(H5="","",H5)</f>
        <v>&lt;250</v>
      </c>
      <c r="I18" s="85">
        <f>Forside!E6</f>
        <v>0.05</v>
      </c>
      <c r="J18" s="64">
        <f>IF(H18="","",IF(H18="&lt;250",0,IF(H18="250-999",1,IF(H18="1000-2499",2,IF(H18="2500-4999",3,IF(H18="&gt;=5000",4,""))))))</f>
        <v>0</v>
      </c>
      <c r="K18" s="65">
        <f t="shared" si="0"/>
        <v>0</v>
      </c>
    </row>
    <row r="19" spans="1:11" ht="15.75" customHeight="1" thickBot="1" x14ac:dyDescent="0.3">
      <c r="A19" s="267"/>
      <c r="B19" s="268"/>
      <c r="C19" s="112"/>
      <c r="D19" s="112"/>
      <c r="E19" s="39"/>
      <c r="G19" s="41" t="s">
        <v>66</v>
      </c>
      <c r="H19" s="104">
        <f>IF(H7="","",H7)</f>
        <v>30</v>
      </c>
      <c r="I19" s="85">
        <f>Forside!E7</f>
        <v>0.05</v>
      </c>
      <c r="J19" s="64">
        <f>IF(H19=A69,B69,IF(H19=A70,B70,IF(H19=A71,B71,IF(H19=A72,B72,IF(H19=A73,B73,IF(H19=A74,B74,IF(H19=A75,B75,IF(H19=A76,B76,IF(H19=A77,B77,IF(H19=A78,B78,""))))))))))</f>
        <v>0</v>
      </c>
      <c r="K19" s="65">
        <f t="shared" si="0"/>
        <v>0</v>
      </c>
    </row>
    <row r="20" spans="1:11" ht="15.75" customHeight="1" thickBot="1" x14ac:dyDescent="0.3">
      <c r="A20" s="269"/>
      <c r="B20" s="270"/>
      <c r="C20" s="112"/>
      <c r="D20" s="112"/>
      <c r="E20" s="39"/>
      <c r="G20" s="41" t="s">
        <v>89</v>
      </c>
      <c r="H20" s="104">
        <f>IF(H9="","",H9)</f>
        <v>30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c r="I21" s="85">
        <f>Forside!E9</f>
        <v>0.05</v>
      </c>
      <c r="J21" s="64" t="str">
        <f>IF(H21=A106,B106,IF(H21=A107,B107,(IF(H21=A108,B108,(IF(H21=A109,B109,(IF(H21=A110,B110,""))))))))</f>
        <v/>
      </c>
      <c r="K21" s="65" t="str">
        <f t="shared" si="0"/>
        <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10"/>
      <c r="B26" s="47"/>
      <c r="C26" s="47"/>
      <c r="D26" s="48"/>
      <c r="E26" s="39"/>
      <c r="G26" s="57" t="s">
        <v>130</v>
      </c>
      <c r="H26" s="58"/>
      <c r="I26" s="59">
        <f>Forside!E14</f>
        <v>0.5</v>
      </c>
      <c r="J26" s="58"/>
      <c r="K26" s="60">
        <f>IF(J27="","",SUM(K27:K29))</f>
        <v>1</v>
      </c>
    </row>
    <row r="27" spans="1:11" ht="16.5" thickBot="1" x14ac:dyDescent="0.35">
      <c r="E27" s="39"/>
      <c r="G27" s="79" t="s">
        <v>141</v>
      </c>
      <c r="H27" s="80" t="s">
        <v>110</v>
      </c>
      <c r="I27" s="85">
        <f>Forside!E15</f>
        <v>0.25</v>
      </c>
      <c r="J27" s="127">
        <f>IF(H27=A113,B113,IF(H27=A114,B114,(IF(H27=A115,B115,(IF(H27=A116,B116,(IF(H27=A117,B117,""))))))))</f>
        <v>2</v>
      </c>
      <c r="K27" s="130">
        <f t="shared" si="0"/>
        <v>0.5</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155</v>
      </c>
      <c r="I29" s="85">
        <f>Forside!E17</f>
        <v>0.2</v>
      </c>
      <c r="J29" s="129">
        <f>IF(H29=A120,B120,IF(H29=A121,B121,(IF(H29=A122,B122,(IF(H29=A123,B123,(IF(H29=A124,B124,""))))))))</f>
        <v>2</v>
      </c>
      <c r="K29" s="131">
        <f t="shared" si="0"/>
        <v>0.4</v>
      </c>
    </row>
    <row r="30" spans="1:11" ht="14.5" thickBot="1" x14ac:dyDescent="0.35">
      <c r="G30" s="57" t="s">
        <v>3</v>
      </c>
      <c r="H30" s="82"/>
      <c r="I30" s="83"/>
      <c r="J30" s="84"/>
      <c r="K30" s="132">
        <f>IF(Forside!E18="100%",IF(ISNUMBER(K16*K22*K26),K16+K22+K26,""),"Forkert vægtning")</f>
        <v>1.3</v>
      </c>
    </row>
    <row r="32" spans="1:11" x14ac:dyDescent="0.25">
      <c r="H32" s="17"/>
      <c r="I32" s="43"/>
    </row>
    <row r="33" spans="6:14" ht="26.25" customHeight="1" x14ac:dyDescent="0.3">
      <c r="J33" s="24" t="s">
        <v>85</v>
      </c>
      <c r="K33" s="25" t="s">
        <v>2</v>
      </c>
    </row>
    <row r="34" spans="6:14" x14ac:dyDescent="0.25">
      <c r="J34" s="26">
        <v>4</v>
      </c>
      <c r="K34" s="169" t="str">
        <f>"&gt;"&amp;Forside!$H$7</f>
        <v>&gt;1,8</v>
      </c>
    </row>
    <row r="35" spans="6:14" x14ac:dyDescent="0.25">
      <c r="J35" s="26">
        <v>3</v>
      </c>
      <c r="K35" s="169" t="str">
        <f>"&gt;="&amp;Forside!$H$8</f>
        <v>&gt;=1,35</v>
      </c>
    </row>
    <row r="36" spans="6:14" ht="12.75" customHeight="1" x14ac:dyDescent="0.25">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400</v>
      </c>
      <c r="I46" s="141">
        <f>Enhedspriser!C3</f>
        <v>3750</v>
      </c>
      <c r="J46" s="145">
        <f>H46*I46</f>
        <v>1500000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45000</v>
      </c>
    </row>
    <row r="55" spans="1:17" ht="27.75" customHeight="1" thickBot="1" x14ac:dyDescent="0.35">
      <c r="G55" s="149" t="s">
        <v>175</v>
      </c>
      <c r="H55" s="150"/>
      <c r="I55" s="150"/>
      <c r="J55" s="146">
        <f>SUM(J46:J54)</f>
        <v>1545000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9BCD60B8-128B-4477-A1B8-9EB8C2D834E1}">
      <formula1>$A$113:$A$117</formula1>
    </dataValidation>
    <dataValidation type="list" allowBlank="1" showInputMessage="1" showErrorMessage="1" sqref="H25" xr:uid="{007206E9-0C52-493C-ADDC-9CBA49D79AAC}">
      <formula1>$A$97:$A$102</formula1>
    </dataValidation>
    <dataValidation type="list" allowBlank="1" showInputMessage="1" showErrorMessage="1" sqref="H21" xr:uid="{BFAB3430-FACC-44F8-B1F6-51FE2B2BF562}">
      <formula1>$A$106:$A$110</formula1>
    </dataValidation>
    <dataValidation type="list" allowBlank="1" showInputMessage="1" showErrorMessage="1" sqref="H28" xr:uid="{A3D0869B-C9BD-4D63-ACD6-E293EAD53BD8}">
      <formula1>$A$128:$A$132</formula1>
    </dataValidation>
    <dataValidation type="list" allowBlank="1" showInputMessage="1" showErrorMessage="1" sqref="H24" xr:uid="{D23A8020-553F-4142-AAD3-A51197480D94}">
      <formula1>$A$137:$A$141</formula1>
    </dataValidation>
    <dataValidation type="list" allowBlank="1" showInputMessage="1" showErrorMessage="1" sqref="H29" xr:uid="{AC4EA2CD-6D96-49E5-93CD-5651B5829E1C}">
      <formula1>$A$120:$A$124</formula1>
    </dataValidation>
    <dataValidation type="list" allowBlank="1" showInputMessage="1" showErrorMessage="1" sqref="H7" xr:uid="{D3DAB4A0-5662-4736-B89C-372E4BB09FCC}">
      <formula1>$A$69:$A$78</formula1>
    </dataValidation>
    <dataValidation type="list" allowBlank="1" showInputMessage="1" showErrorMessage="1" sqref="H23" xr:uid="{9481D49B-FC50-4D7E-BD67-D8192D730619}">
      <formula1>$A$88:$A$92</formula1>
    </dataValidation>
    <dataValidation type="list" allowBlank="1" showInputMessage="1" showErrorMessage="1" sqref="H5" xr:uid="{D2297856-B87F-4F6A-838C-0F7A7B611F3C}">
      <formula1>$A$81:$A$85</formula1>
    </dataValidation>
  </dataValidations>
  <hyperlinks>
    <hyperlink ref="C5" r:id="rId1" xr:uid="{12A708E7-2B8F-4DAF-BBC0-69763E0FC926}"/>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3B46E0-0326-4075-A26B-E711865E25F3}">
  <dimension ref="A1"/>
  <sheetViews>
    <sheetView workbookViewId="0"/>
  </sheetViews>
  <sheetFormatPr defaultRowHeight="12.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D1D7F8-1A37-4116-AD99-935CCBED7F95}">
  <sheetPr codeName="Sheet61"/>
  <dimension ref="A1:Q174"/>
  <sheetViews>
    <sheetView view="pageLayout" topLeftCell="A3"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2</v>
      </c>
      <c r="C4" s="151"/>
      <c r="D4" s="38" t="s">
        <v>2</v>
      </c>
      <c r="E4" s="115">
        <f>IF(K30&gt;0,K30,"")</f>
        <v>1.75</v>
      </c>
      <c r="G4" s="133" t="s">
        <v>173</v>
      </c>
      <c r="H4" s="124"/>
      <c r="L4" s="139" t="s">
        <v>5</v>
      </c>
      <c r="M4" s="284" t="s">
        <v>466</v>
      </c>
      <c r="N4" s="260"/>
    </row>
    <row r="5" spans="1:14" ht="25" x14ac:dyDescent="0.25">
      <c r="A5" s="37" t="s">
        <v>96</v>
      </c>
      <c r="B5" s="18" t="s">
        <v>185</v>
      </c>
      <c r="C5" s="164" t="s">
        <v>187</v>
      </c>
      <c r="D5" s="38" t="s">
        <v>84</v>
      </c>
      <c r="E5" s="115">
        <f>IF(B9&gt;0,E4/B9,"")</f>
        <v>0.13729528292635088</v>
      </c>
      <c r="G5" s="122" t="s">
        <v>98</v>
      </c>
      <c r="H5" s="123" t="s">
        <v>148</v>
      </c>
    </row>
    <row r="6" spans="1:14" ht="13" thickBot="1" x14ac:dyDescent="0.3">
      <c r="A6" s="38" t="s">
        <v>97</v>
      </c>
      <c r="B6" s="19" t="s">
        <v>186</v>
      </c>
      <c r="C6" s="151"/>
      <c r="D6" s="116" t="s">
        <v>85</v>
      </c>
      <c r="E6" s="117">
        <f>IF(E4="","",IF(E4&gt;=Forside!$H$7,4,IF(E4&gt;=Forside!$H$8,3,IF(E4&gt;=Forside!$H$9,2,IF(E4&gt;0,1,"")))))</f>
        <v>3</v>
      </c>
      <c r="G6" s="38" t="s">
        <v>99</v>
      </c>
      <c r="H6" s="40">
        <v>5</v>
      </c>
      <c r="I6" s="5" t="s">
        <v>182</v>
      </c>
    </row>
    <row r="7" spans="1:14" ht="13" thickBot="1" x14ac:dyDescent="0.3">
      <c r="A7" s="38" t="s">
        <v>77</v>
      </c>
      <c r="B7" s="19" t="s">
        <v>180</v>
      </c>
      <c r="C7" s="151"/>
      <c r="D7" s="27"/>
      <c r="E7" s="28"/>
      <c r="G7" s="17" t="s">
        <v>66</v>
      </c>
      <c r="H7" s="42">
        <v>60</v>
      </c>
    </row>
    <row r="8" spans="1:14" ht="13" x14ac:dyDescent="0.3">
      <c r="A8" s="38" t="s">
        <v>91</v>
      </c>
      <c r="B8" s="14">
        <v>3.3</v>
      </c>
      <c r="C8" s="2"/>
      <c r="D8" s="118" t="s">
        <v>87</v>
      </c>
      <c r="E8" s="114"/>
      <c r="G8" s="38" t="s">
        <v>100</v>
      </c>
      <c r="H8" s="14">
        <v>60</v>
      </c>
      <c r="I8" s="5" t="s">
        <v>182</v>
      </c>
    </row>
    <row r="9" spans="1:14" ht="13" thickBot="1" x14ac:dyDescent="0.3">
      <c r="A9" s="125" t="s">
        <v>6</v>
      </c>
      <c r="B9" s="20">
        <f>J55/1000000</f>
        <v>12.74625</v>
      </c>
      <c r="C9" s="2"/>
      <c r="D9" s="38" t="s">
        <v>112</v>
      </c>
      <c r="E9" s="119">
        <f>K16</f>
        <v>0.55000000000000004</v>
      </c>
      <c r="G9" s="38" t="s">
        <v>101</v>
      </c>
      <c r="H9" s="14">
        <v>68</v>
      </c>
      <c r="I9" s="5" t="s">
        <v>182</v>
      </c>
    </row>
    <row r="10" spans="1:14" x14ac:dyDescent="0.25">
      <c r="C10" s="36"/>
      <c r="D10" s="38" t="s">
        <v>123</v>
      </c>
      <c r="E10" s="120">
        <f>K22</f>
        <v>0.5</v>
      </c>
      <c r="G10" s="38" t="s">
        <v>102</v>
      </c>
      <c r="H10" s="14">
        <v>3</v>
      </c>
    </row>
    <row r="11" spans="1:14" ht="24.75" customHeight="1" thickBot="1" x14ac:dyDescent="0.3">
      <c r="C11" s="36"/>
      <c r="D11" s="116" t="s">
        <v>130</v>
      </c>
      <c r="E11" s="121">
        <f>K26</f>
        <v>0.70000000000000007</v>
      </c>
    </row>
    <row r="12" spans="1:14" ht="13.5" thickBot="1" x14ac:dyDescent="0.3">
      <c r="A12" s="135" t="s">
        <v>17</v>
      </c>
      <c r="B12" s="105"/>
      <c r="C12" s="17"/>
      <c r="D12" s="17"/>
      <c r="E12"/>
    </row>
    <row r="13" spans="1:14" ht="13" x14ac:dyDescent="0.25">
      <c r="A13" s="285" t="s">
        <v>188</v>
      </c>
      <c r="B13" s="286"/>
      <c r="C13" s="111"/>
      <c r="D13" s="111"/>
      <c r="E13"/>
    </row>
    <row r="14" spans="1:14" ht="13.5" thickBot="1" x14ac:dyDescent="0.3">
      <c r="A14" s="250"/>
      <c r="B14" s="252"/>
      <c r="D14" s="111"/>
      <c r="E14"/>
    </row>
    <row r="15" spans="1:14" ht="16" thickBot="1" x14ac:dyDescent="0.4">
      <c r="A15" s="250"/>
      <c r="B15" s="252"/>
      <c r="C15" s="111"/>
      <c r="D15" s="111"/>
      <c r="E15"/>
      <c r="G15" s="31" t="s">
        <v>32</v>
      </c>
      <c r="H15" s="32"/>
      <c r="I15" s="33" t="s">
        <v>1</v>
      </c>
      <c r="J15" s="34" t="s">
        <v>0</v>
      </c>
      <c r="K15" s="35" t="s">
        <v>2</v>
      </c>
    </row>
    <row r="16" spans="1:14" ht="28.5" thickBot="1" x14ac:dyDescent="0.35">
      <c r="A16" s="253"/>
      <c r="B16" s="255"/>
      <c r="C16" s="111"/>
      <c r="D16" s="111"/>
      <c r="E16"/>
      <c r="G16" s="126" t="s">
        <v>112</v>
      </c>
      <c r="H16" s="58"/>
      <c r="I16" s="59">
        <f>Forside!E4</f>
        <v>0.25</v>
      </c>
      <c r="J16" s="58"/>
      <c r="K16" s="60">
        <f>IF(J17="","",SUM(K17:K21))</f>
        <v>0.55000000000000004</v>
      </c>
    </row>
    <row r="17" spans="1:11" ht="25.5" thickBot="1" x14ac:dyDescent="0.3">
      <c r="A17" s="5"/>
      <c r="B17" s="5"/>
      <c r="C17" s="5"/>
      <c r="D17" s="5"/>
      <c r="G17" s="61" t="s">
        <v>137</v>
      </c>
      <c r="H17" s="102">
        <f>IF(H10="","",H10)</f>
        <v>3</v>
      </c>
      <c r="I17" s="85">
        <f>Forside!E5</f>
        <v>0.05</v>
      </c>
      <c r="J17" s="62">
        <f>IF(H17="","",IF(H17=0,0,IF(H17&lt;3,1,IF(H17&lt;6,2,IF(H17&lt;10,3,IF(H17&gt;=10,4,""))))))</f>
        <v>2</v>
      </c>
      <c r="K17" s="63">
        <f t="shared" ref="K17:K29" si="0">IF(J17="","",J17*I17)</f>
        <v>0.1</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189</v>
      </c>
      <c r="B19" s="268"/>
      <c r="C19" s="112"/>
      <c r="D19" s="112"/>
      <c r="E19" s="39"/>
      <c r="G19" s="41" t="s">
        <v>66</v>
      </c>
      <c r="H19" s="104">
        <f>IF(H7="","",H7)</f>
        <v>60</v>
      </c>
      <c r="I19" s="85">
        <f>Forside!E7</f>
        <v>0.05</v>
      </c>
      <c r="J19" s="64">
        <f>IF(H19=A69,B69,IF(H19=A70,B70,IF(H19=A71,B71,IF(H19=A72,B72,IF(H19=A73,B73,IF(H19=A74,B74,IF(H19=A75,B75,IF(H19=A76,B76,IF(H19=A77,B77,IF(H19=A78,B78,""))))))))))</f>
        <v>2</v>
      </c>
      <c r="K19" s="65">
        <f t="shared" si="0"/>
        <v>0.1</v>
      </c>
    </row>
    <row r="20" spans="1:11" ht="15.75" customHeight="1" thickBot="1" x14ac:dyDescent="0.3">
      <c r="A20" s="269"/>
      <c r="B20" s="270"/>
      <c r="C20" s="112"/>
      <c r="D20" s="112"/>
      <c r="E20" s="39"/>
      <c r="G20" s="41" t="s">
        <v>89</v>
      </c>
      <c r="H20" s="104">
        <f>IF(H9="","",H9)</f>
        <v>68</v>
      </c>
      <c r="I20" s="85">
        <f>Forside!E8</f>
        <v>0.05</v>
      </c>
      <c r="J20" s="66">
        <f>IF(H20="","",IF(H19="","",IF(H20&lt;=H19,0,IF(H20&lt;H19*1.05,1,IF(H20&lt;H19*1.1,2,IF(H20&lt;H19*1.15,3,IF(H20&gt;=H19*1.15,4,"")))))))</f>
        <v>3</v>
      </c>
      <c r="K20" s="65">
        <f t="shared" si="0"/>
        <v>0.15000000000000002</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0.5</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80</v>
      </c>
      <c r="I24" s="85">
        <f>Forside!E12</f>
        <v>0.1</v>
      </c>
      <c r="J24" s="64">
        <f>IF(H24=A137,B137,IF(H24=A138,B138,(IF(H24=A139,B139,(IF(H24=A140,B140,(IF(H24=A141,B141,""))))))))</f>
        <v>3</v>
      </c>
      <c r="K24" s="65">
        <f t="shared" si="0"/>
        <v>0.30000000000000004</v>
      </c>
    </row>
    <row r="25" spans="1:11" ht="16.5" thickBot="1" x14ac:dyDescent="0.35">
      <c r="A25" s="49" t="s">
        <v>92</v>
      </c>
      <c r="B25" s="51" t="s">
        <v>93</v>
      </c>
      <c r="C25" s="51" t="s">
        <v>94</v>
      </c>
      <c r="D25" s="50" t="s">
        <v>95</v>
      </c>
      <c r="E25" s="39"/>
      <c r="G25" s="75" t="s">
        <v>104</v>
      </c>
      <c r="H25" s="76" t="s">
        <v>53</v>
      </c>
      <c r="I25" s="85">
        <f>Forside!E13</f>
        <v>0.05</v>
      </c>
      <c r="J25" s="77">
        <f>IF(H25=A102,B102,IF(H25=A101,B101,IF(H25=A100,B100,IF(H25=A99,B99,IF(H25=A98,B98,"")))))</f>
        <v>0</v>
      </c>
      <c r="K25" s="78">
        <f t="shared" si="0"/>
        <v>0</v>
      </c>
    </row>
    <row r="26" spans="1:11" ht="16.5" thickBot="1" x14ac:dyDescent="0.35">
      <c r="A26" s="154" t="s">
        <v>184</v>
      </c>
      <c r="B26" s="155" t="s">
        <v>184</v>
      </c>
      <c r="C26" s="155">
        <v>5</v>
      </c>
      <c r="D26" s="156" t="s">
        <v>12</v>
      </c>
      <c r="E26" s="39"/>
      <c r="G26" s="57" t="s">
        <v>130</v>
      </c>
      <c r="H26" s="58"/>
      <c r="I26" s="59">
        <f>Forside!E14</f>
        <v>0.5</v>
      </c>
      <c r="J26" s="58"/>
      <c r="K26" s="60">
        <f>IF(J27="","",SUM(K27:K29))</f>
        <v>0.70000000000000007</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156</v>
      </c>
      <c r="I29" s="85">
        <f>Forside!E17</f>
        <v>0.2</v>
      </c>
      <c r="J29" s="129">
        <f>IF(H29=A120,B120,IF(H29=A121,B121,(IF(H29=A122,B122,(IF(H29=A123,B123,(IF(H29=A124,B124,""))))))))</f>
        <v>3</v>
      </c>
      <c r="K29" s="131">
        <f t="shared" si="0"/>
        <v>0.60000000000000009</v>
      </c>
    </row>
    <row r="30" spans="1:11" ht="14.5" thickBot="1" x14ac:dyDescent="0.35">
      <c r="G30" s="57" t="s">
        <v>3</v>
      </c>
      <c r="H30" s="82"/>
      <c r="I30" s="83"/>
      <c r="J30" s="84"/>
      <c r="K30" s="132">
        <f>IF(Forside!E18="100%",IF(ISNUMBER(K16*K22*K26),K16+K22+K26,""),"Forkert vægtning")</f>
        <v>1.75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430</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180</v>
      </c>
      <c r="H46" s="141">
        <v>3300</v>
      </c>
      <c r="I46" s="141">
        <f>Enhedspriser!C3</f>
        <v>3750</v>
      </c>
      <c r="J46" s="145">
        <f>H46*I46</f>
        <v>12375000</v>
      </c>
      <c r="L46" s="250" t="s">
        <v>172</v>
      </c>
      <c r="M46" s="251"/>
      <c r="N46" s="252"/>
    </row>
    <row r="47" spans="6:14" ht="12.75" customHeight="1" x14ac:dyDescent="0.3">
      <c r="G47" s="140"/>
      <c r="H47" s="141"/>
      <c r="I47" s="141"/>
      <c r="J47" s="145">
        <f>H47*I47</f>
        <v>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371250</v>
      </c>
    </row>
    <row r="55" spans="1:17" ht="27.75" customHeight="1" thickBot="1" x14ac:dyDescent="0.35">
      <c r="G55" s="149" t="s">
        <v>175</v>
      </c>
      <c r="H55" s="150"/>
      <c r="I55" s="150"/>
      <c r="J55" s="146">
        <f>SUM(J46:J54)</f>
        <v>12746250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2E433A7B-595A-4B92-B2EE-79AEA7C08ED9}">
      <formula1>$A$113:$A$117</formula1>
    </dataValidation>
    <dataValidation type="list" allowBlank="1" showInputMessage="1" showErrorMessage="1" sqref="H25" xr:uid="{7D830B65-45FB-45CA-932C-F2404A695AF2}">
      <formula1>$A$97:$A$102</formula1>
    </dataValidation>
    <dataValidation type="list" allowBlank="1" showInputMessage="1" showErrorMessage="1" sqref="H21" xr:uid="{B8ABC015-C202-4FBD-9039-ABB22E43C9EA}">
      <formula1>$A$106:$A$110</formula1>
    </dataValidation>
    <dataValidation type="list" allowBlank="1" showInputMessage="1" showErrorMessage="1" sqref="H28" xr:uid="{4741C060-BFD6-4CE6-A508-A51889D575C9}">
      <formula1>$A$128:$A$132</formula1>
    </dataValidation>
    <dataValidation type="list" allowBlank="1" showInputMessage="1" showErrorMessage="1" sqref="H24" xr:uid="{E2B233CC-311F-4947-B377-A622030C481D}">
      <formula1>$A$137:$A$141</formula1>
    </dataValidation>
    <dataValidation type="list" allowBlank="1" showInputMessage="1" showErrorMessage="1" sqref="H29" xr:uid="{6C81C45E-F508-4223-8FB4-9C2D71FB3BDC}">
      <formula1>$A$120:$A$124</formula1>
    </dataValidation>
    <dataValidation type="list" allowBlank="1" showInputMessage="1" showErrorMessage="1" sqref="H7" xr:uid="{4D1510BD-AC42-43A4-B139-60331A950917}">
      <formula1>$A$69:$A$78</formula1>
    </dataValidation>
    <dataValidation type="list" allowBlank="1" showInputMessage="1" showErrorMessage="1" sqref="H23" xr:uid="{5E7A90C0-0B04-4E09-823F-49E01EBD96BD}">
      <formula1>$A$88:$A$92</formula1>
    </dataValidation>
    <dataValidation type="list" allowBlank="1" showInputMessage="1" showErrorMessage="1" sqref="H5" xr:uid="{88DAE3B5-195E-442E-8CD9-C6463D0A6E0D}">
      <formula1>$A$81:$A$85</formula1>
    </dataValidation>
  </dataValidations>
  <hyperlinks>
    <hyperlink ref="C5" r:id="rId1" xr:uid="{F55F0009-4E13-4F15-9C2C-B8637232AC8D}"/>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4247F5-41BC-470F-BEF9-28A48E5CA244}">
  <sheetPr codeName="Sheet62"/>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3</v>
      </c>
      <c r="C4" s="151"/>
      <c r="D4" s="38" t="s">
        <v>2</v>
      </c>
      <c r="E4" s="115">
        <f>IF(K30&gt;0,K30,"")</f>
        <v>1.1000000000000001</v>
      </c>
      <c r="G4" s="133" t="s">
        <v>173</v>
      </c>
      <c r="H4" s="124"/>
      <c r="L4" s="139" t="s">
        <v>5</v>
      </c>
      <c r="M4" s="284" t="s">
        <v>466</v>
      </c>
      <c r="N4" s="260"/>
    </row>
    <row r="5" spans="1:14" ht="25" x14ac:dyDescent="0.25">
      <c r="A5" s="37" t="s">
        <v>96</v>
      </c>
      <c r="B5" s="18" t="s">
        <v>190</v>
      </c>
      <c r="C5" s="164" t="s">
        <v>193</v>
      </c>
      <c r="D5" s="38" t="s">
        <v>84</v>
      </c>
      <c r="E5" s="115">
        <f>IF(B9&gt;0,E4/B9,"")</f>
        <v>5.2223039855674509E-2</v>
      </c>
      <c r="G5" s="122" t="s">
        <v>98</v>
      </c>
      <c r="H5" s="123" t="s">
        <v>139</v>
      </c>
    </row>
    <row r="6" spans="1:14" ht="13" thickBot="1" x14ac:dyDescent="0.3">
      <c r="A6" s="38" t="s">
        <v>97</v>
      </c>
      <c r="B6" s="19" t="s">
        <v>191</v>
      </c>
      <c r="C6" s="151"/>
      <c r="D6" s="116" t="s">
        <v>85</v>
      </c>
      <c r="E6" s="117">
        <f>IF(E4="","",IF(E4&gt;=Forside!$H$7,4,IF(E4&gt;=Forside!$H$8,3,IF(E4&gt;=Forside!$H$9,2,IF(E4&gt;0,1,"")))))</f>
        <v>2</v>
      </c>
      <c r="G6" s="38" t="s">
        <v>99</v>
      </c>
      <c r="H6" s="40"/>
    </row>
    <row r="7" spans="1:14" ht="13" thickBot="1" x14ac:dyDescent="0.3">
      <c r="A7" s="38" t="s">
        <v>77</v>
      </c>
      <c r="B7" s="19" t="s">
        <v>192</v>
      </c>
      <c r="C7" s="151"/>
      <c r="D7" s="27"/>
      <c r="E7" s="28"/>
      <c r="G7" s="17" t="s">
        <v>66</v>
      </c>
      <c r="H7" s="42">
        <v>80</v>
      </c>
    </row>
    <row r="8" spans="1:14" ht="13" x14ac:dyDescent="0.3">
      <c r="A8" s="38" t="s">
        <v>91</v>
      </c>
      <c r="B8" s="14">
        <v>5.4</v>
      </c>
      <c r="C8" s="2"/>
      <c r="D8" s="118" t="s">
        <v>87</v>
      </c>
      <c r="E8" s="114"/>
      <c r="G8" s="38" t="s">
        <v>100</v>
      </c>
      <c r="H8" s="14">
        <v>81</v>
      </c>
    </row>
    <row r="9" spans="1:14" ht="13" thickBot="1" x14ac:dyDescent="0.3">
      <c r="A9" s="125" t="s">
        <v>6</v>
      </c>
      <c r="B9" s="20">
        <f>J55/1000000</f>
        <v>21.063500000000001</v>
      </c>
      <c r="C9" s="2"/>
      <c r="D9" s="38" t="s">
        <v>112</v>
      </c>
      <c r="E9" s="119">
        <f>K16</f>
        <v>0.70000000000000007</v>
      </c>
      <c r="G9" s="38" t="s">
        <v>101</v>
      </c>
      <c r="H9" s="14">
        <v>89</v>
      </c>
    </row>
    <row r="10" spans="1:14" x14ac:dyDescent="0.25">
      <c r="C10" s="36"/>
      <c r="D10" s="38" t="s">
        <v>123</v>
      </c>
      <c r="E10" s="120">
        <f>K22</f>
        <v>0.30000000000000004</v>
      </c>
      <c r="G10" s="38" t="s">
        <v>102</v>
      </c>
      <c r="H10" s="14">
        <v>6</v>
      </c>
    </row>
    <row r="11" spans="1:14" ht="24.75" customHeight="1" thickBot="1" x14ac:dyDescent="0.3">
      <c r="C11" s="36"/>
      <c r="D11" s="116" t="s">
        <v>130</v>
      </c>
      <c r="E11" s="121">
        <f>K26</f>
        <v>0.1</v>
      </c>
    </row>
    <row r="12" spans="1:14" ht="13.5" thickBot="1" x14ac:dyDescent="0.3">
      <c r="A12" s="135" t="s">
        <v>17</v>
      </c>
      <c r="B12" s="105"/>
      <c r="C12" s="17"/>
      <c r="D12" s="17"/>
      <c r="E12"/>
    </row>
    <row r="13" spans="1:14" ht="13.15" customHeight="1" x14ac:dyDescent="0.25">
      <c r="A13" s="261" t="s">
        <v>194</v>
      </c>
      <c r="B13" s="262"/>
      <c r="C13" s="111"/>
      <c r="D13" s="111"/>
      <c r="E13"/>
    </row>
    <row r="14" spans="1:14" ht="13.9" customHeight="1"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0.70000000000000007</v>
      </c>
    </row>
    <row r="17" spans="1:11" ht="25.5" thickBot="1" x14ac:dyDescent="0.3">
      <c r="A17" s="5"/>
      <c r="B17" s="5"/>
      <c r="C17" s="5"/>
      <c r="D17" s="5"/>
      <c r="G17" s="61" t="s">
        <v>137</v>
      </c>
      <c r="H17" s="102">
        <f>IF(H10="","",H10)</f>
        <v>6</v>
      </c>
      <c r="I17" s="85">
        <f>Forside!E5</f>
        <v>0.05</v>
      </c>
      <c r="J17" s="62">
        <f>IF(H17="","",IF(H17=0,0,IF(H17&lt;3,1,IF(H17&lt;6,2,IF(H17&lt;10,3,IF(H17&gt;=10,4,""))))))</f>
        <v>3</v>
      </c>
      <c r="K17" s="63">
        <f t="shared" ref="K17:K29" si="0">IF(J17="","",J17*I17)</f>
        <v>0.15000000000000002</v>
      </c>
    </row>
    <row r="18" spans="1:11" ht="12.75" customHeight="1" thickBot="1" x14ac:dyDescent="0.3">
      <c r="A18" s="136" t="s">
        <v>90</v>
      </c>
      <c r="B18" s="52"/>
      <c r="C18" s="109"/>
      <c r="D18" s="109"/>
      <c r="G18" s="41" t="s">
        <v>138</v>
      </c>
      <c r="H18" s="103" t="str">
        <f>IF(H5="","",H5)</f>
        <v>2500-4999</v>
      </c>
      <c r="I18" s="85">
        <f>Forside!E6</f>
        <v>0.05</v>
      </c>
      <c r="J18" s="64">
        <f>IF(H18="","",IF(H18="&lt;250",0,IF(H18="250-999",1,IF(H18="1000-2499",2,IF(H18="2500-4999",3,IF(H18="&gt;=5000",4,""))))))</f>
        <v>3</v>
      </c>
      <c r="K18" s="65">
        <f t="shared" si="0"/>
        <v>0.15000000000000002</v>
      </c>
    </row>
    <row r="19" spans="1:11" ht="15.75" customHeight="1" thickBot="1" x14ac:dyDescent="0.3">
      <c r="A19" s="267" t="s">
        <v>195</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89</v>
      </c>
      <c r="I20" s="85">
        <f>Forside!E8</f>
        <v>0.05</v>
      </c>
      <c r="J20" s="66">
        <f>IF(H20="","",IF(H19="","",IF(H20&lt;=H19,0,IF(H20&lt;H19*1.05,1,IF(H20&lt;H19*1.1,2,IF(H20&lt;H19*1.15,3,IF(H20&gt;=H19*1.15,4,"")))))))</f>
        <v>3</v>
      </c>
      <c r="K20" s="65">
        <f t="shared" si="0"/>
        <v>0.15000000000000002</v>
      </c>
    </row>
    <row r="21" spans="1:11" ht="16.5" thickBot="1" x14ac:dyDescent="0.3">
      <c r="A21" s="269"/>
      <c r="B21" s="270"/>
      <c r="C21" s="112"/>
      <c r="D21" s="112"/>
      <c r="E21" s="39"/>
      <c r="G21" s="101" t="s">
        <v>122</v>
      </c>
      <c r="H21" s="67" t="s">
        <v>58</v>
      </c>
      <c r="I21" s="85">
        <f>Forside!E9</f>
        <v>0.05</v>
      </c>
      <c r="J21" s="64">
        <f>IF(H21=A106,B106,IF(H21=A107,B107,(IF(H21=A108,B108,(IF(H21=A109,B109,(IF(H21=A110,B110,""))))))))</f>
        <v>1</v>
      </c>
      <c r="K21" s="65">
        <f t="shared" si="0"/>
        <v>0.05</v>
      </c>
    </row>
    <row r="22" spans="1:11" ht="16.5" thickBot="1" x14ac:dyDescent="0.35">
      <c r="A22" s="269"/>
      <c r="B22" s="270"/>
      <c r="C22" s="112"/>
      <c r="D22" s="112"/>
      <c r="E22" s="39"/>
      <c r="G22" s="57" t="s">
        <v>123</v>
      </c>
      <c r="H22" s="68"/>
      <c r="I22" s="59">
        <f>Forside!E10</f>
        <v>0.25</v>
      </c>
      <c r="J22" s="68"/>
      <c r="K22" s="69">
        <f>IF(J23="","",SUM(K23:K25))</f>
        <v>0.30000000000000004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7">
        <v>45570</v>
      </c>
      <c r="D26" s="156">
        <v>0</v>
      </c>
      <c r="E26" s="39"/>
      <c r="G26" s="57" t="s">
        <v>130</v>
      </c>
      <c r="H26" s="58"/>
      <c r="I26" s="59">
        <f>Forside!E14</f>
        <v>0.5</v>
      </c>
      <c r="J26" s="58"/>
      <c r="K26" s="60">
        <f>IF(J27="","",SUM(K27:K29))</f>
        <v>0.1</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31</v>
      </c>
      <c r="I28" s="85">
        <f>Forside!E16</f>
        <v>0.05</v>
      </c>
      <c r="J28" s="128">
        <f>IF(H28=A128,B128,IF(H28=A129,B129,(IF(H28=A130,B130,(IF(H28=A131,B131,(IF(H28=A132,B132,""))))))))</f>
        <v>2</v>
      </c>
      <c r="K28" s="131">
        <f t="shared" si="0"/>
        <v>0.1</v>
      </c>
    </row>
    <row r="29" spans="1:11" ht="14.5" thickBot="1" x14ac:dyDescent="0.3">
      <c r="G29" s="41" t="s">
        <v>136</v>
      </c>
      <c r="H29" s="81" t="s">
        <v>153</v>
      </c>
      <c r="I29" s="85">
        <f>Forside!E17</f>
        <v>0.2</v>
      </c>
      <c r="J29" s="129">
        <f>IF(H29=A120,B120,IF(H29=A121,B121,(IF(H29=A122,B122,(IF(H29=A123,B123,(IF(H29=A124,B124,""))))))))</f>
        <v>0</v>
      </c>
      <c r="K29" s="131">
        <f t="shared" si="0"/>
        <v>0</v>
      </c>
    </row>
    <row r="30" spans="1:11" ht="14.5" thickBot="1" x14ac:dyDescent="0.35">
      <c r="G30" s="57" t="s">
        <v>3</v>
      </c>
      <c r="H30" s="82"/>
      <c r="I30" s="83"/>
      <c r="J30" s="84"/>
      <c r="K30" s="132">
        <f>IF(Forside!E18="100%",IF(ISNUMBER(K16*K22*K26),K16+K22+K26,""),"Forkert vægtning")</f>
        <v>1.1000000000000001</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433</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5400</v>
      </c>
      <c r="I46" s="141">
        <f>Enhedspriser!C3</f>
        <v>3750</v>
      </c>
      <c r="J46" s="145">
        <f>H46*I46</f>
        <v>20250000</v>
      </c>
      <c r="L46" s="250" t="s">
        <v>172</v>
      </c>
      <c r="M46" s="251"/>
      <c r="N46" s="252"/>
    </row>
    <row r="47" spans="6:14" ht="12.75" customHeight="1" x14ac:dyDescent="0.3">
      <c r="G47" s="140" t="s">
        <v>196</v>
      </c>
      <c r="H47" s="141">
        <v>2</v>
      </c>
      <c r="I47" s="141">
        <v>100000</v>
      </c>
      <c r="J47" s="145">
        <f>H47*I47</f>
        <v>200000</v>
      </c>
      <c r="L47" s="250"/>
      <c r="M47" s="251"/>
      <c r="N47" s="252"/>
    </row>
    <row r="48" spans="6:14" ht="13" x14ac:dyDescent="0.3">
      <c r="G48" s="140"/>
      <c r="H48" s="141"/>
      <c r="I48" s="141"/>
      <c r="J48" s="145">
        <f t="shared" ref="J48:J53" si="1">H48*I48</f>
        <v>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613500</v>
      </c>
    </row>
    <row r="55" spans="1:17" ht="27.75" customHeight="1" thickBot="1" x14ac:dyDescent="0.35">
      <c r="G55" s="149" t="s">
        <v>175</v>
      </c>
      <c r="H55" s="150"/>
      <c r="I55" s="150"/>
      <c r="J55" s="146">
        <f>SUM(J46:J54)</f>
        <v>21063500</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3BB8888B-25B9-4354-B412-F768137750DA}">
      <formula1>$A$113:$A$117</formula1>
    </dataValidation>
    <dataValidation type="list" allowBlank="1" showInputMessage="1" showErrorMessage="1" sqref="H25" xr:uid="{888B165B-30C6-4A17-9110-C6461DA29AEC}">
      <formula1>$A$97:$A$102</formula1>
    </dataValidation>
    <dataValidation type="list" allowBlank="1" showInputMessage="1" showErrorMessage="1" sqref="H21" xr:uid="{09909BA2-6580-4DE4-87AB-864C1A9D7DD5}">
      <formula1>$A$106:$A$110</formula1>
    </dataValidation>
    <dataValidation type="list" allowBlank="1" showInputMessage="1" showErrorMessage="1" sqref="H28" xr:uid="{0C3F1CAD-801C-4A0C-9C9F-FD70AB5A1D43}">
      <formula1>$A$128:$A$132</formula1>
    </dataValidation>
    <dataValidation type="list" allowBlank="1" showInputMessage="1" showErrorMessage="1" sqref="H24" xr:uid="{CDFEC5FD-88AA-405B-B031-EE01915B8B9D}">
      <formula1>$A$137:$A$141</formula1>
    </dataValidation>
    <dataValidation type="list" allowBlank="1" showInputMessage="1" showErrorMessage="1" sqref="H29" xr:uid="{D026DDC7-5F4B-47B9-93D4-10E374A5492D}">
      <formula1>$A$120:$A$124</formula1>
    </dataValidation>
    <dataValidation type="list" allowBlank="1" showInputMessage="1" showErrorMessage="1" sqref="H7" xr:uid="{ED4F5BFF-5E7F-4BAE-A32E-F9F24755F4D2}">
      <formula1>$A$69:$A$78</formula1>
    </dataValidation>
    <dataValidation type="list" allowBlank="1" showInputMessage="1" showErrorMessage="1" sqref="H23" xr:uid="{0570111D-16D7-463C-9F59-2EBA1D6B1526}">
      <formula1>$A$88:$A$92</formula1>
    </dataValidation>
    <dataValidation type="list" allowBlank="1" showInputMessage="1" showErrorMessage="1" sqref="H5" xr:uid="{BF714AA1-625B-429A-BC58-92475313047E}">
      <formula1>$A$81:$A$85</formula1>
    </dataValidation>
  </dataValidations>
  <hyperlinks>
    <hyperlink ref="C5" r:id="rId1" xr:uid="{FAC5A89A-F425-4107-B795-5D153E380B16}"/>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1DA219-E558-4273-BFBF-178EA908F1C1}">
  <sheetPr codeName="Sheet63"/>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5</v>
      </c>
      <c r="C4" s="151"/>
      <c r="D4" s="38" t="s">
        <v>2</v>
      </c>
      <c r="E4" s="115">
        <f>IF(K30&gt;0,K30,"")</f>
        <v>1.75</v>
      </c>
      <c r="G4" s="133" t="s">
        <v>173</v>
      </c>
      <c r="H4" s="124"/>
      <c r="L4" s="139" t="s">
        <v>5</v>
      </c>
      <c r="M4" s="284" t="s">
        <v>466</v>
      </c>
      <c r="N4" s="260"/>
    </row>
    <row r="5" spans="1:14" ht="25" x14ac:dyDescent="0.25">
      <c r="A5" s="37" t="s">
        <v>96</v>
      </c>
      <c r="B5" s="18" t="s">
        <v>197</v>
      </c>
      <c r="C5" s="164" t="s">
        <v>199</v>
      </c>
      <c r="D5" s="38" t="s">
        <v>84</v>
      </c>
      <c r="E5" s="115">
        <f>IF(B9&gt;0,E4/B9,"")</f>
        <v>9.856586664038243E-2</v>
      </c>
      <c r="G5" s="122" t="s">
        <v>98</v>
      </c>
      <c r="H5" s="123" t="s">
        <v>148</v>
      </c>
      <c r="I5" s="5" t="s">
        <v>182</v>
      </c>
    </row>
    <row r="6" spans="1:14" ht="13" thickBot="1" x14ac:dyDescent="0.3">
      <c r="A6" s="38" t="s">
        <v>97</v>
      </c>
      <c r="B6" s="19" t="s">
        <v>198</v>
      </c>
      <c r="C6" s="151"/>
      <c r="D6" s="116" t="s">
        <v>85</v>
      </c>
      <c r="E6" s="117">
        <f>IF(E4="","",IF(E4&gt;=Forside!$H$7,4,IF(E4&gt;=Forside!$H$8,3,IF(E4&gt;=Forside!$H$9,2,IF(E4&gt;0,1,"")))))</f>
        <v>3</v>
      </c>
      <c r="G6" s="38" t="s">
        <v>99</v>
      </c>
      <c r="H6" s="40"/>
    </row>
    <row r="7" spans="1:14" ht="13" thickBot="1" x14ac:dyDescent="0.3">
      <c r="A7" s="38" t="s">
        <v>77</v>
      </c>
      <c r="B7" s="19" t="s">
        <v>192</v>
      </c>
      <c r="C7" s="151"/>
      <c r="D7" s="27"/>
      <c r="E7" s="28"/>
      <c r="G7" s="17" t="s">
        <v>66</v>
      </c>
      <c r="H7" s="42">
        <v>80</v>
      </c>
    </row>
    <row r="8" spans="1:14" ht="13" x14ac:dyDescent="0.3">
      <c r="A8" s="38" t="s">
        <v>91</v>
      </c>
      <c r="B8" s="14">
        <v>4.5</v>
      </c>
      <c r="C8" s="2"/>
      <c r="D8" s="118" t="s">
        <v>87</v>
      </c>
      <c r="E8" s="114"/>
      <c r="G8" s="38" t="s">
        <v>100</v>
      </c>
      <c r="H8" s="14">
        <v>70</v>
      </c>
      <c r="I8" s="5" t="s">
        <v>182</v>
      </c>
    </row>
    <row r="9" spans="1:14" ht="13" thickBot="1" x14ac:dyDescent="0.3">
      <c r="A9" s="125" t="s">
        <v>6</v>
      </c>
      <c r="B9" s="20">
        <f>J55/1000000</f>
        <v>17.754625000000001</v>
      </c>
      <c r="C9" s="2"/>
      <c r="D9" s="38" t="s">
        <v>112</v>
      </c>
      <c r="E9" s="119">
        <f>K16</f>
        <v>0.5</v>
      </c>
      <c r="G9" s="38" t="s">
        <v>101</v>
      </c>
      <c r="H9" s="14">
        <v>80</v>
      </c>
      <c r="I9" s="5" t="s">
        <v>182</v>
      </c>
    </row>
    <row r="10" spans="1:14" x14ac:dyDescent="0.25">
      <c r="C10" s="36"/>
      <c r="D10" s="38" t="s">
        <v>123</v>
      </c>
      <c r="E10" s="120">
        <f>K22</f>
        <v>0.4</v>
      </c>
      <c r="G10" s="38" t="s">
        <v>102</v>
      </c>
      <c r="H10" s="14">
        <v>3</v>
      </c>
    </row>
    <row r="11" spans="1:14" ht="24.75" customHeight="1" thickBot="1" x14ac:dyDescent="0.3">
      <c r="C11" s="36"/>
      <c r="D11" s="116" t="s">
        <v>130</v>
      </c>
      <c r="E11" s="121">
        <f>K26</f>
        <v>0.85000000000000009</v>
      </c>
    </row>
    <row r="12" spans="1:14" ht="13.5" thickBot="1" x14ac:dyDescent="0.3">
      <c r="A12" s="135" t="s">
        <v>17</v>
      </c>
      <c r="B12" s="105"/>
      <c r="C12" s="17"/>
      <c r="D12" s="17"/>
      <c r="E12"/>
    </row>
    <row r="13" spans="1:14" ht="13" x14ac:dyDescent="0.25">
      <c r="A13" s="261" t="s">
        <v>200</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v>
      </c>
    </row>
    <row r="17" spans="1:11" ht="25.5" thickBot="1" x14ac:dyDescent="0.3">
      <c r="A17" s="5"/>
      <c r="B17" s="5"/>
      <c r="C17" s="5"/>
      <c r="D17" s="5"/>
      <c r="G17" s="61" t="s">
        <v>137</v>
      </c>
      <c r="H17" s="102">
        <f>IF(H10="","",H10)</f>
        <v>3</v>
      </c>
      <c r="I17" s="85">
        <f>Forside!E5</f>
        <v>0.05</v>
      </c>
      <c r="J17" s="62">
        <f>IF(H17="","",IF(H17=0,0,IF(H17&lt;3,1,IF(H17&lt;6,2,IF(H17&lt;10,3,IF(H17&gt;=10,4,""))))))</f>
        <v>2</v>
      </c>
      <c r="K17" s="63">
        <f t="shared" ref="K17:K29" si="0">IF(J17="","",J17*I17)</f>
        <v>0.1</v>
      </c>
    </row>
    <row r="18" spans="1:11" ht="12.75" customHeight="1" thickBot="1" x14ac:dyDescent="0.3">
      <c r="A18" s="136" t="s">
        <v>90</v>
      </c>
      <c r="B18" s="52"/>
      <c r="C18" s="109"/>
      <c r="D18" s="109"/>
      <c r="G18" s="41" t="s">
        <v>138</v>
      </c>
      <c r="H18" s="103" t="str">
        <f>IF(H5="","",H5)</f>
        <v>250-999</v>
      </c>
      <c r="I18" s="85">
        <f>Forside!E6</f>
        <v>0.05</v>
      </c>
      <c r="J18" s="64">
        <f>IF(H18="","",IF(H18="&lt;250",0,IF(H18="250-999",1,IF(H18="1000-2499",2,IF(H18="2500-4999",3,IF(H18="&gt;=5000",4,""))))))</f>
        <v>1</v>
      </c>
      <c r="K18" s="65">
        <f t="shared" si="0"/>
        <v>0.05</v>
      </c>
    </row>
    <row r="19" spans="1:11" ht="15.75" customHeight="1" thickBot="1" x14ac:dyDescent="0.3">
      <c r="A19" s="267" t="s">
        <v>201</v>
      </c>
      <c r="B19" s="268"/>
      <c r="C19" s="112"/>
      <c r="D19" s="112"/>
      <c r="E19" s="39"/>
      <c r="G19" s="41" t="s">
        <v>66</v>
      </c>
      <c r="H19" s="104">
        <f>IF(H7="","",H7)</f>
        <v>80</v>
      </c>
      <c r="I19" s="85">
        <f>Forside!E7</f>
        <v>0.05</v>
      </c>
      <c r="J19" s="64">
        <f>IF(H19=A69,B69,IF(H19=A70,B70,IF(H19=A71,B71,IF(H19=A72,B72,IF(H19=A73,B73,IF(H19=A74,B74,IF(H19=A75,B75,IF(H19=A76,B76,IF(H19=A77,B77,IF(H19=A78,B78,""))))))))))</f>
        <v>4</v>
      </c>
      <c r="K19" s="65">
        <f t="shared" si="0"/>
        <v>0.2</v>
      </c>
    </row>
    <row r="20" spans="1:11" ht="15.75" customHeight="1" thickBot="1" x14ac:dyDescent="0.3">
      <c r="A20" s="269"/>
      <c r="B20" s="270"/>
      <c r="C20" s="112"/>
      <c r="D20" s="112"/>
      <c r="E20" s="39"/>
      <c r="G20" s="41" t="s">
        <v>89</v>
      </c>
      <c r="H20" s="104">
        <f>IF(H9="","",H9)</f>
        <v>80</v>
      </c>
      <c r="I20" s="85">
        <f>Forside!E8</f>
        <v>0.05</v>
      </c>
      <c r="J20" s="66">
        <f>IF(H20="","",IF(H19="","",IF(H20&lt;=H19,0,IF(H20&lt;H19*1.05,1,IF(H20&lt;H19*1.1,2,IF(H20&lt;H19*1.15,3,IF(H20&gt;=H19*1.15,4,"")))))))</f>
        <v>0</v>
      </c>
      <c r="K20" s="65">
        <f t="shared" si="0"/>
        <v>0</v>
      </c>
    </row>
    <row r="21" spans="1:11" ht="16.5" thickBot="1" x14ac:dyDescent="0.3">
      <c r="A21" s="269"/>
      <c r="B21" s="270"/>
      <c r="C21" s="112"/>
      <c r="D21" s="112"/>
      <c r="E21" s="39"/>
      <c r="G21" s="101" t="s">
        <v>122</v>
      </c>
      <c r="H21" s="67" t="s">
        <v>29</v>
      </c>
      <c r="I21" s="85">
        <f>Forside!E9</f>
        <v>0.05</v>
      </c>
      <c r="J21" s="64">
        <f>IF(H21=A106,B106,IF(H21=A107,B107,(IF(H21=A108,B108,(IF(H21=A109,B109,(IF(H21=A110,B110,""))))))))</f>
        <v>3</v>
      </c>
      <c r="K21" s="65">
        <f t="shared" si="0"/>
        <v>0.15000000000000002</v>
      </c>
    </row>
    <row r="22" spans="1:11" ht="16.5" thickBot="1" x14ac:dyDescent="0.35">
      <c r="A22" s="269"/>
      <c r="B22" s="270"/>
      <c r="C22" s="112"/>
      <c r="D22" s="112"/>
      <c r="E22" s="39"/>
      <c r="G22" s="57" t="s">
        <v>123</v>
      </c>
      <c r="H22" s="68"/>
      <c r="I22" s="59">
        <f>Forside!E10</f>
        <v>0.25</v>
      </c>
      <c r="J22" s="68"/>
      <c r="K22" s="69">
        <f>IF(J23="","",SUM(K23:K25))</f>
        <v>0.4</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82</v>
      </c>
      <c r="I24" s="85">
        <f>Forside!E12</f>
        <v>0.1</v>
      </c>
      <c r="J24" s="64">
        <f>IF(H24=A137,B137,IF(H24=A138,B138,(IF(H24=A139,B139,(IF(H24=A140,B140,(IF(H24=A141,B141,""))))))))</f>
        <v>1</v>
      </c>
      <c r="K24" s="65">
        <f t="shared" si="0"/>
        <v>0.1</v>
      </c>
    </row>
    <row r="25" spans="1:11" ht="16.5" thickBot="1" x14ac:dyDescent="0.35">
      <c r="A25" s="49" t="s">
        <v>92</v>
      </c>
      <c r="B25" s="51" t="s">
        <v>93</v>
      </c>
      <c r="C25" s="51" t="s">
        <v>94</v>
      </c>
      <c r="D25" s="50" t="s">
        <v>95</v>
      </c>
      <c r="E25" s="39"/>
      <c r="G25" s="75" t="s">
        <v>104</v>
      </c>
      <c r="H25" s="76" t="s">
        <v>55</v>
      </c>
      <c r="I25" s="85">
        <f>Forside!E13</f>
        <v>0.05</v>
      </c>
      <c r="J25" s="77">
        <f>IF(H25=A102,B102,IF(H25=A101,B101,IF(H25=A100,B100,IF(H25=A99,B99,IF(H25=A98,B98,"")))))</f>
        <v>2</v>
      </c>
      <c r="K25" s="78">
        <f t="shared" si="0"/>
        <v>0.1</v>
      </c>
    </row>
    <row r="26" spans="1:11" ht="16.5" thickBot="1" x14ac:dyDescent="0.35">
      <c r="A26" s="154" t="s">
        <v>184</v>
      </c>
      <c r="B26" s="155" t="s">
        <v>184</v>
      </c>
      <c r="C26" s="155">
        <v>4</v>
      </c>
      <c r="D26" s="156" t="s">
        <v>12</v>
      </c>
      <c r="E26" s="39"/>
      <c r="G26" s="57" t="s">
        <v>130</v>
      </c>
      <c r="H26" s="58"/>
      <c r="I26" s="59">
        <f>Forside!E14</f>
        <v>0.5</v>
      </c>
      <c r="J26" s="58"/>
      <c r="K26" s="60">
        <f>IF(J27="","",SUM(K27:K29))</f>
        <v>0.85000000000000009</v>
      </c>
    </row>
    <row r="27" spans="1:11" ht="16.5" thickBot="1" x14ac:dyDescent="0.35">
      <c r="E27" s="39"/>
      <c r="G27" s="79" t="s">
        <v>141</v>
      </c>
      <c r="H27" s="80" t="s">
        <v>110</v>
      </c>
      <c r="I27" s="85">
        <f>Forside!E15</f>
        <v>0.25</v>
      </c>
      <c r="J27" s="127">
        <f>IF(H27=A113,B113,IF(H27=A114,B114,(IF(H27=A115,B115,(IF(H27=A116,B116,(IF(H27=A117,B117,""))))))))</f>
        <v>2</v>
      </c>
      <c r="K27" s="130">
        <f t="shared" si="0"/>
        <v>0.5</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154</v>
      </c>
      <c r="I29" s="85">
        <f>Forside!E17</f>
        <v>0.2</v>
      </c>
      <c r="J29" s="129">
        <f>IF(H29=A120,B120,IF(H29=A121,B121,(IF(H29=A122,B122,(IF(H29=A123,B123,(IF(H29=A124,B124,""))))))))</f>
        <v>1</v>
      </c>
      <c r="K29" s="131">
        <f t="shared" si="0"/>
        <v>0.2</v>
      </c>
    </row>
    <row r="30" spans="1:11" ht="14.5" thickBot="1" x14ac:dyDescent="0.35">
      <c r="G30" s="57" t="s">
        <v>3</v>
      </c>
      <c r="H30" s="82"/>
      <c r="I30" s="83"/>
      <c r="J30" s="84"/>
      <c r="K30" s="132">
        <f>IF(Forside!E18="100%",IF(ISNUMBER(K16*K22*K26),K16+K22+K26,""),"Forkert vægtning")</f>
        <v>1.75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432</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4450</v>
      </c>
      <c r="I46" s="141">
        <f>Enhedspriser!C3</f>
        <v>3750</v>
      </c>
      <c r="J46" s="145">
        <f>H46*I46</f>
        <v>16687500</v>
      </c>
      <c r="L46" s="250" t="s">
        <v>172</v>
      </c>
      <c r="M46" s="251"/>
      <c r="N46" s="252"/>
    </row>
    <row r="47" spans="6:14" ht="12.75" customHeight="1" x14ac:dyDescent="0.3">
      <c r="G47" s="140" t="s">
        <v>55</v>
      </c>
      <c r="H47" s="141">
        <v>1</v>
      </c>
      <c r="I47" s="141">
        <f>Enhedspriser!C7</f>
        <v>300000</v>
      </c>
      <c r="J47" s="145">
        <f>H47*I47</f>
        <v>300000</v>
      </c>
      <c r="L47" s="250"/>
      <c r="M47" s="251"/>
      <c r="N47" s="252"/>
    </row>
    <row r="48" spans="6:14" ht="13" x14ac:dyDescent="0.3">
      <c r="G48" s="140" t="s">
        <v>202</v>
      </c>
      <c r="H48" s="141">
        <v>50</v>
      </c>
      <c r="I48" s="141">
        <f>Enhedspriser!C2</f>
        <v>5000</v>
      </c>
      <c r="J48" s="145">
        <f t="shared" ref="J48:J53" si="1">H48*I48</f>
        <v>250000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517125</v>
      </c>
    </row>
    <row r="55" spans="1:17" ht="27.75" customHeight="1" thickBot="1" x14ac:dyDescent="0.35">
      <c r="G55" s="149" t="s">
        <v>175</v>
      </c>
      <c r="H55" s="150"/>
      <c r="I55" s="150"/>
      <c r="J55" s="146">
        <f>SUM(J46:J54)</f>
        <v>17754625</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176FC5D1-A39A-4C1B-9430-2E1CE64FA01F}">
      <formula1>$A$113:$A$117</formula1>
    </dataValidation>
    <dataValidation type="list" allowBlank="1" showInputMessage="1" showErrorMessage="1" sqref="H25" xr:uid="{AC158F64-CACA-4459-983F-C0CFC286B333}">
      <formula1>$A$97:$A$102</formula1>
    </dataValidation>
    <dataValidation type="list" allowBlank="1" showInputMessage="1" showErrorMessage="1" sqref="H21" xr:uid="{D9D2C51C-5B1C-4815-835D-4A43DA1C71C8}">
      <formula1>$A$106:$A$110</formula1>
    </dataValidation>
    <dataValidation type="list" allowBlank="1" showInputMessage="1" showErrorMessage="1" sqref="H28" xr:uid="{56C248C3-8EBA-47BB-B31D-02C289E18913}">
      <formula1>$A$128:$A$132</formula1>
    </dataValidation>
    <dataValidation type="list" allowBlank="1" showInputMessage="1" showErrorMessage="1" sqref="H24" xr:uid="{ABE18A5F-2931-4C8B-B958-F69C773CE9F4}">
      <formula1>$A$137:$A$141</formula1>
    </dataValidation>
    <dataValidation type="list" allowBlank="1" showInputMessage="1" showErrorMessage="1" sqref="H29" xr:uid="{3C075B6B-2526-4D57-8051-0835212AC678}">
      <formula1>$A$120:$A$124</formula1>
    </dataValidation>
    <dataValidation type="list" allowBlank="1" showInputMessage="1" showErrorMessage="1" sqref="H7" xr:uid="{BB1297E1-A32D-4444-AEBA-C57ECD38CB27}">
      <formula1>$A$69:$A$78</formula1>
    </dataValidation>
    <dataValidation type="list" allowBlank="1" showInputMessage="1" showErrorMessage="1" sqref="H23" xr:uid="{20A281A7-FF58-4622-91EE-1E450128C0FB}">
      <formula1>$A$88:$A$92</formula1>
    </dataValidation>
    <dataValidation type="list" allowBlank="1" showInputMessage="1" showErrorMessage="1" sqref="H5" xr:uid="{204DE769-8A2D-4A3A-B3D7-BFA52FD282B9}">
      <formula1>$A$81:$A$85</formula1>
    </dataValidation>
  </dataValidations>
  <hyperlinks>
    <hyperlink ref="C5" r:id="rId1" xr:uid="{ED8B3C0D-F5DB-41CE-8A77-B874E2ADA35F}"/>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4952DC-E026-4965-8C57-11064F180C37}">
  <sheetPr codeName="Sheet64"/>
  <dimension ref="A1:Q174"/>
  <sheetViews>
    <sheetView view="pageLayout" zoomScale="85" zoomScaleNormal="115" zoomScalePageLayoutView="85" workbookViewId="0">
      <selection activeCell="E7" sqref="E7"/>
    </sheetView>
  </sheetViews>
  <sheetFormatPr defaultColWidth="9.1796875" defaultRowHeight="12.5" x14ac:dyDescent="0.25"/>
  <cols>
    <col min="1" max="1" width="32.7265625" style="1" customWidth="1"/>
    <col min="2" max="3" width="21.453125" style="1" customWidth="1"/>
    <col min="4" max="4" width="27.26953125" style="1" customWidth="1"/>
    <col min="5" max="5" width="12.1796875" style="1" customWidth="1"/>
    <col min="6" max="6" width="4.7265625" style="1" customWidth="1"/>
    <col min="7" max="7" width="36.1796875" style="1" customWidth="1"/>
    <col min="8" max="8" width="21.453125" style="1" customWidth="1"/>
    <col min="9" max="9" width="10.54296875" style="1" customWidth="1"/>
    <col min="10" max="10" width="13.1796875" style="1" bestFit="1" customWidth="1"/>
    <col min="11" max="11" width="14.1796875" style="1" customWidth="1"/>
    <col min="12" max="16384" width="9.1796875" style="1"/>
  </cols>
  <sheetData>
    <row r="1" spans="1:14" ht="13" x14ac:dyDescent="0.3">
      <c r="A1" s="16"/>
      <c r="B1" s="16"/>
      <c r="C1" s="16"/>
      <c r="D1"/>
      <c r="E1"/>
    </row>
    <row r="2" spans="1:14" ht="13" thickBot="1" x14ac:dyDescent="0.3">
      <c r="A2"/>
      <c r="B2"/>
      <c r="C2"/>
      <c r="D2"/>
      <c r="E2"/>
    </row>
    <row r="3" spans="1:14" ht="13.5" thickBot="1" x14ac:dyDescent="0.35">
      <c r="A3" s="134" t="s">
        <v>9</v>
      </c>
      <c r="B3" s="100"/>
      <c r="D3" s="113" t="s">
        <v>86</v>
      </c>
      <c r="E3" s="114"/>
    </row>
    <row r="4" spans="1:14" ht="38" thickBot="1" x14ac:dyDescent="0.5">
      <c r="A4" s="30" t="s">
        <v>47</v>
      </c>
      <c r="B4" s="138">
        <v>6</v>
      </c>
      <c r="C4" s="151"/>
      <c r="D4" s="38" t="s">
        <v>2</v>
      </c>
      <c r="E4" s="115">
        <f>IF(K30&gt;0,K30,"")</f>
        <v>1.25</v>
      </c>
      <c r="G4" s="133" t="s">
        <v>173</v>
      </c>
      <c r="H4" s="124"/>
      <c r="L4" s="139" t="s">
        <v>5</v>
      </c>
      <c r="M4" s="284" t="s">
        <v>466</v>
      </c>
      <c r="N4" s="260"/>
    </row>
    <row r="5" spans="1:14" ht="25" x14ac:dyDescent="0.25">
      <c r="A5" s="37" t="s">
        <v>96</v>
      </c>
      <c r="B5" s="18" t="s">
        <v>203</v>
      </c>
      <c r="C5" s="164" t="s">
        <v>205</v>
      </c>
      <c r="D5" s="38" t="s">
        <v>84</v>
      </c>
      <c r="E5" s="115">
        <f>IF(B9&gt;0,E4/B9,"")</f>
        <v>8.3768230061067039E-2</v>
      </c>
      <c r="G5" s="122" t="s">
        <v>98</v>
      </c>
      <c r="H5" s="123" t="s">
        <v>139</v>
      </c>
    </row>
    <row r="6" spans="1:14" ht="13" thickBot="1" x14ac:dyDescent="0.3">
      <c r="A6" s="38" t="s">
        <v>97</v>
      </c>
      <c r="B6" s="19" t="s">
        <v>204</v>
      </c>
      <c r="C6" s="151"/>
      <c r="D6" s="116" t="s">
        <v>85</v>
      </c>
      <c r="E6" s="117">
        <f>IF(E4="","",IF(E4&gt;=Forside!$H$7,4,IF(E4&gt;=Forside!$H$8,3,IF(E4&gt;=Forside!$H$9,2,IF(E4&gt;0,1,"")))))</f>
        <v>2</v>
      </c>
      <c r="G6" s="38" t="s">
        <v>99</v>
      </c>
      <c r="H6" s="40">
        <v>20</v>
      </c>
      <c r="I6" s="1" t="s">
        <v>182</v>
      </c>
    </row>
    <row r="7" spans="1:14" ht="13" thickBot="1" x14ac:dyDescent="0.3">
      <c r="A7" s="38" t="s">
        <v>77</v>
      </c>
      <c r="B7" s="19" t="s">
        <v>192</v>
      </c>
      <c r="C7" s="151"/>
      <c r="D7" s="27"/>
      <c r="E7" s="28"/>
      <c r="G7" s="17" t="s">
        <v>66</v>
      </c>
      <c r="H7" s="42">
        <v>60</v>
      </c>
    </row>
    <row r="8" spans="1:14" ht="13" x14ac:dyDescent="0.3">
      <c r="A8" s="38" t="s">
        <v>91</v>
      </c>
      <c r="B8" s="14">
        <v>3.7</v>
      </c>
      <c r="C8" s="2"/>
      <c r="D8" s="118" t="s">
        <v>87</v>
      </c>
      <c r="E8" s="114"/>
      <c r="G8" s="38" t="s">
        <v>100</v>
      </c>
      <c r="H8" s="14">
        <v>58</v>
      </c>
    </row>
    <row r="9" spans="1:14" ht="13" thickBot="1" x14ac:dyDescent="0.3">
      <c r="A9" s="125" t="s">
        <v>6</v>
      </c>
      <c r="B9" s="20">
        <f>J55/1000000</f>
        <v>14.922124999999999</v>
      </c>
      <c r="C9" s="2"/>
      <c r="D9" s="38" t="s">
        <v>112</v>
      </c>
      <c r="E9" s="119">
        <f>K16</f>
        <v>0.5</v>
      </c>
      <c r="G9" s="38" t="s">
        <v>101</v>
      </c>
      <c r="H9" s="14">
        <v>65</v>
      </c>
    </row>
    <row r="10" spans="1:14" x14ac:dyDescent="0.25">
      <c r="C10" s="36"/>
      <c r="D10" s="38" t="s">
        <v>123</v>
      </c>
      <c r="E10" s="120">
        <f>K22</f>
        <v>0.2</v>
      </c>
      <c r="G10" s="38" t="s">
        <v>102</v>
      </c>
      <c r="H10" s="14">
        <v>2</v>
      </c>
      <c r="I10" s="1">
        <v>7</v>
      </c>
    </row>
    <row r="11" spans="1:14" ht="24.75" customHeight="1" thickBot="1" x14ac:dyDescent="0.3">
      <c r="C11" s="36"/>
      <c r="D11" s="116" t="s">
        <v>130</v>
      </c>
      <c r="E11" s="121">
        <f>K26</f>
        <v>0.55000000000000004</v>
      </c>
    </row>
    <row r="12" spans="1:14" ht="13.5" thickBot="1" x14ac:dyDescent="0.3">
      <c r="A12" s="135" t="s">
        <v>17</v>
      </c>
      <c r="B12" s="105"/>
      <c r="C12" s="17"/>
      <c r="D12" s="17"/>
      <c r="E12"/>
    </row>
    <row r="13" spans="1:14" ht="13" x14ac:dyDescent="0.25">
      <c r="A13" s="261" t="s">
        <v>206</v>
      </c>
      <c r="B13" s="262"/>
      <c r="C13" s="111"/>
      <c r="D13" s="111"/>
      <c r="E13"/>
    </row>
    <row r="14" spans="1:14" ht="13.5" thickBot="1" x14ac:dyDescent="0.3">
      <c r="A14" s="263"/>
      <c r="B14" s="264"/>
      <c r="D14" s="111"/>
      <c r="E14"/>
    </row>
    <row r="15" spans="1:14" ht="16" thickBot="1" x14ac:dyDescent="0.4">
      <c r="A15" s="263"/>
      <c r="B15" s="264"/>
      <c r="C15" s="111"/>
      <c r="D15" s="111"/>
      <c r="E15"/>
      <c r="G15" s="31" t="s">
        <v>32</v>
      </c>
      <c r="H15" s="32"/>
      <c r="I15" s="33" t="s">
        <v>1</v>
      </c>
      <c r="J15" s="34" t="s">
        <v>0</v>
      </c>
      <c r="K15" s="35" t="s">
        <v>2</v>
      </c>
    </row>
    <row r="16" spans="1:14" ht="28.5" thickBot="1" x14ac:dyDescent="0.35">
      <c r="A16" s="265"/>
      <c r="B16" s="266"/>
      <c r="C16" s="111"/>
      <c r="D16" s="111"/>
      <c r="E16"/>
      <c r="G16" s="126" t="s">
        <v>112</v>
      </c>
      <c r="H16" s="58"/>
      <c r="I16" s="59">
        <f>Forside!E4</f>
        <v>0.25</v>
      </c>
      <c r="J16" s="58"/>
      <c r="K16" s="60">
        <f>IF(J17="","",SUM(K17:K21))</f>
        <v>0.5</v>
      </c>
    </row>
    <row r="17" spans="1:11" ht="25.5" thickBot="1" x14ac:dyDescent="0.3">
      <c r="A17" s="5"/>
      <c r="B17" s="5"/>
      <c r="C17" s="5"/>
      <c r="D17" s="5"/>
      <c r="G17" s="61" t="s">
        <v>137</v>
      </c>
      <c r="H17" s="102">
        <f>IF(H10="","",H10)</f>
        <v>2</v>
      </c>
      <c r="I17" s="85">
        <f>Forside!E5</f>
        <v>0.05</v>
      </c>
      <c r="J17" s="62">
        <f>IF(H17="","",IF(H17=0,0,IF(H17&lt;3,1,IF(H17&lt;6,2,IF(H17&lt;10,3,IF(H17&gt;=10,4,""))))))</f>
        <v>1</v>
      </c>
      <c r="K17" s="63">
        <f t="shared" ref="K17:K29" si="0">IF(J17="","",J17*I17)</f>
        <v>0.05</v>
      </c>
    </row>
    <row r="18" spans="1:11" ht="12.75" customHeight="1" thickBot="1" x14ac:dyDescent="0.3">
      <c r="A18" s="136" t="s">
        <v>90</v>
      </c>
      <c r="B18" s="52"/>
      <c r="C18" s="109"/>
      <c r="D18" s="109"/>
      <c r="G18" s="41" t="s">
        <v>138</v>
      </c>
      <c r="H18" s="103" t="str">
        <f>IF(H5="","",H5)</f>
        <v>2500-4999</v>
      </c>
      <c r="I18" s="85">
        <f>Forside!E6</f>
        <v>0.05</v>
      </c>
      <c r="J18" s="64">
        <f>IF(H18="","",IF(H18="&lt;250",0,IF(H18="250-999",1,IF(H18="1000-2499",2,IF(H18="2500-4999",3,IF(H18="&gt;=5000",4,""))))))</f>
        <v>3</v>
      </c>
      <c r="K18" s="65">
        <f t="shared" si="0"/>
        <v>0.15000000000000002</v>
      </c>
    </row>
    <row r="19" spans="1:11" ht="15.75" customHeight="1" thickBot="1" x14ac:dyDescent="0.3">
      <c r="A19" s="267" t="s">
        <v>53</v>
      </c>
      <c r="B19" s="268"/>
      <c r="C19" s="112"/>
      <c r="D19" s="112"/>
      <c r="E19" s="39"/>
      <c r="G19" s="41" t="s">
        <v>66</v>
      </c>
      <c r="H19" s="104">
        <f>IF(H7="","",H7)</f>
        <v>60</v>
      </c>
      <c r="I19" s="85">
        <f>Forside!E7</f>
        <v>0.05</v>
      </c>
      <c r="J19" s="64">
        <f>IF(H19=A69,B69,IF(H19=A70,B70,IF(H19=A71,B71,IF(H19=A72,B72,IF(H19=A73,B73,IF(H19=A74,B74,IF(H19=A75,B75,IF(H19=A76,B76,IF(H19=A77,B77,IF(H19=A78,B78,""))))))))))</f>
        <v>2</v>
      </c>
      <c r="K19" s="65">
        <f t="shared" si="0"/>
        <v>0.1</v>
      </c>
    </row>
    <row r="20" spans="1:11" ht="15.75" customHeight="1" thickBot="1" x14ac:dyDescent="0.3">
      <c r="A20" s="269"/>
      <c r="B20" s="270"/>
      <c r="C20" s="112"/>
      <c r="D20" s="112"/>
      <c r="E20" s="39"/>
      <c r="G20" s="41" t="s">
        <v>89</v>
      </c>
      <c r="H20" s="104">
        <f>IF(H9="","",H9)</f>
        <v>65</v>
      </c>
      <c r="I20" s="85">
        <f>Forside!E8</f>
        <v>0.05</v>
      </c>
      <c r="J20" s="66">
        <f>IF(H20="","",IF(H19="","",IF(H20&lt;=H19,0,IF(H20&lt;H19*1.05,1,IF(H20&lt;H19*1.1,2,IF(H20&lt;H19*1.15,3,IF(H20&gt;=H19*1.15,4,"")))))))</f>
        <v>2</v>
      </c>
      <c r="K20" s="65">
        <f t="shared" si="0"/>
        <v>0.1</v>
      </c>
    </row>
    <row r="21" spans="1:11" ht="16.5" thickBot="1" x14ac:dyDescent="0.3">
      <c r="A21" s="269"/>
      <c r="B21" s="270"/>
      <c r="C21" s="112"/>
      <c r="D21" s="112"/>
      <c r="E21" s="39"/>
      <c r="G21" s="101" t="s">
        <v>122</v>
      </c>
      <c r="H21" s="67" t="s">
        <v>30</v>
      </c>
      <c r="I21" s="85">
        <f>Forside!E9</f>
        <v>0.05</v>
      </c>
      <c r="J21" s="64">
        <f>IF(H21=A106,B106,IF(H21=A107,B107,(IF(H21=A108,B108,(IF(H21=A109,B109,(IF(H21=A110,B110,""))))))))</f>
        <v>2</v>
      </c>
      <c r="K21" s="65">
        <f t="shared" si="0"/>
        <v>0.1</v>
      </c>
    </row>
    <row r="22" spans="1:11" ht="16.5" thickBot="1" x14ac:dyDescent="0.35">
      <c r="A22" s="269"/>
      <c r="B22" s="270"/>
      <c r="C22" s="112"/>
      <c r="D22" s="112"/>
      <c r="E22" s="39"/>
      <c r="G22" s="57" t="s">
        <v>123</v>
      </c>
      <c r="H22" s="68"/>
      <c r="I22" s="59">
        <f>Forside!E10</f>
        <v>0.25</v>
      </c>
      <c r="J22" s="68"/>
      <c r="K22" s="69">
        <f>IF(J23="","",SUM(K23:K25))</f>
        <v>0.2</v>
      </c>
    </row>
    <row r="23" spans="1:11" ht="25.5" thickBot="1" x14ac:dyDescent="0.35">
      <c r="A23" s="271"/>
      <c r="B23" s="272"/>
      <c r="C23" s="112"/>
      <c r="D23" s="112"/>
      <c r="G23" s="70" t="s">
        <v>77</v>
      </c>
      <c r="H23" s="71" t="s">
        <v>151</v>
      </c>
      <c r="I23" s="85">
        <f>Forside!E11</f>
        <v>0.1</v>
      </c>
      <c r="J23" s="72">
        <f>IF(H23=A88,B88,IF(H23=A89,B89,(IF(H23=A90,B90,(IF(H23=A91,B91,(IF(H23=A92,B92,""))))))))</f>
        <v>2</v>
      </c>
      <c r="K23" s="73">
        <f t="shared" si="0"/>
        <v>0.2</v>
      </c>
    </row>
    <row r="24" spans="1:11" ht="16.5" thickBot="1" x14ac:dyDescent="0.35">
      <c r="A24" s="5"/>
      <c r="B24" s="5"/>
      <c r="C24" s="5"/>
      <c r="D24" s="5"/>
      <c r="E24" s="39"/>
      <c r="G24" s="70" t="s">
        <v>140</v>
      </c>
      <c r="H24" s="74" t="s">
        <v>12</v>
      </c>
      <c r="I24" s="85">
        <f>Forside!E12</f>
        <v>0.1</v>
      </c>
      <c r="J24" s="64">
        <f>IF(H24=A137,B137,IF(H24=A138,B138,(IF(H24=A139,B139,(IF(H24=A140,B140,(IF(H24=A141,B141,""))))))))</f>
        <v>0</v>
      </c>
      <c r="K24" s="65">
        <f t="shared" si="0"/>
        <v>0</v>
      </c>
    </row>
    <row r="25" spans="1:11" ht="16.5" thickBot="1" x14ac:dyDescent="0.35">
      <c r="A25" s="49" t="s">
        <v>92</v>
      </c>
      <c r="B25" s="51" t="s">
        <v>93</v>
      </c>
      <c r="C25" s="51" t="s">
        <v>94</v>
      </c>
      <c r="D25" s="50" t="s">
        <v>95</v>
      </c>
      <c r="E25" s="39"/>
      <c r="G25" s="75" t="s">
        <v>104</v>
      </c>
      <c r="H25" s="76" t="s">
        <v>103</v>
      </c>
      <c r="I25" s="85">
        <f>Forside!E13</f>
        <v>0.05</v>
      </c>
      <c r="J25" s="77" t="str">
        <f>IF(H25=A102,B102,IF(H25=A101,B101,IF(H25=A100,B100,IF(H25=A99,B99,IF(H25=A98,B98,"")))))</f>
        <v/>
      </c>
      <c r="K25" s="78" t="str">
        <f t="shared" si="0"/>
        <v/>
      </c>
    </row>
    <row r="26" spans="1:11" ht="16.5" thickBot="1" x14ac:dyDescent="0.35">
      <c r="A26" s="154" t="s">
        <v>184</v>
      </c>
      <c r="B26" s="155" t="s">
        <v>184</v>
      </c>
      <c r="C26" s="155">
        <v>1</v>
      </c>
      <c r="D26" s="156">
        <v>0</v>
      </c>
      <c r="E26" s="39"/>
      <c r="G26" s="57" t="s">
        <v>130</v>
      </c>
      <c r="H26" s="58"/>
      <c r="I26" s="59">
        <f>Forside!E14</f>
        <v>0.5</v>
      </c>
      <c r="J26" s="58"/>
      <c r="K26" s="60">
        <f>IF(J27="","",SUM(K27:K29))</f>
        <v>0.55000000000000004</v>
      </c>
    </row>
    <row r="27" spans="1:11" ht="16.5" thickBot="1" x14ac:dyDescent="0.35">
      <c r="E27" s="39"/>
      <c r="G27" s="79" t="s">
        <v>141</v>
      </c>
      <c r="H27" s="80" t="s">
        <v>107</v>
      </c>
      <c r="I27" s="85">
        <f>Forside!E15</f>
        <v>0.25</v>
      </c>
      <c r="J27" s="127">
        <f>IF(H27=A113,B113,IF(H27=A114,B114,(IF(H27=A115,B115,(IF(H27=A116,B116,(IF(H27=A117,B117,""))))))))</f>
        <v>0</v>
      </c>
      <c r="K27" s="130">
        <f t="shared" si="0"/>
        <v>0</v>
      </c>
    </row>
    <row r="28" spans="1:11" ht="14.5" thickBot="1" x14ac:dyDescent="0.3">
      <c r="G28" s="41" t="s">
        <v>62</v>
      </c>
      <c r="H28" s="74" t="s">
        <v>64</v>
      </c>
      <c r="I28" s="85">
        <f>Forside!E16</f>
        <v>0.05</v>
      </c>
      <c r="J28" s="128">
        <f>IF(H28=A128,B128,IF(H28=A129,B129,(IF(H28=A130,B130,(IF(H28=A131,B131,(IF(H28=A132,B132,""))))))))</f>
        <v>3</v>
      </c>
      <c r="K28" s="131">
        <f t="shared" si="0"/>
        <v>0.15000000000000002</v>
      </c>
    </row>
    <row r="29" spans="1:11" ht="14.5" thickBot="1" x14ac:dyDescent="0.3">
      <c r="G29" s="41" t="s">
        <v>136</v>
      </c>
      <c r="H29" s="81" t="s">
        <v>155</v>
      </c>
      <c r="I29" s="85">
        <f>Forside!E17</f>
        <v>0.2</v>
      </c>
      <c r="J29" s="129">
        <f>IF(H29=A120,B120,IF(H29=A121,B121,(IF(H29=A122,B122,(IF(H29=A123,B123,(IF(H29=A124,B124,""))))))))</f>
        <v>2</v>
      </c>
      <c r="K29" s="131">
        <f t="shared" si="0"/>
        <v>0.4</v>
      </c>
    </row>
    <row r="30" spans="1:11" ht="14.5" thickBot="1" x14ac:dyDescent="0.35">
      <c r="G30" s="57" t="s">
        <v>3</v>
      </c>
      <c r="H30" s="82"/>
      <c r="I30" s="83"/>
      <c r="J30" s="84"/>
      <c r="K30" s="132">
        <f>IF(Forside!E18="100%",IF(ISNUMBER(K16*K22*K26),K16+K22+K26,""),"Forkert vægtning")</f>
        <v>1.25</v>
      </c>
    </row>
    <row r="32" spans="1:11" x14ac:dyDescent="0.25">
      <c r="H32" s="17"/>
      <c r="I32" s="43"/>
    </row>
    <row r="33" spans="6:14" ht="26.25" customHeight="1" x14ac:dyDescent="0.3">
      <c r="J33" s="24" t="s">
        <v>85</v>
      </c>
      <c r="K33" s="25" t="s">
        <v>2</v>
      </c>
    </row>
    <row r="34" spans="6:14" x14ac:dyDescent="0.25">
      <c r="G34" s="5" t="s">
        <v>122</v>
      </c>
      <c r="J34" s="26">
        <v>4</v>
      </c>
      <c r="K34" s="169" t="str">
        <f>"&gt;"&amp;Forside!$H$7</f>
        <v>&gt;1,8</v>
      </c>
    </row>
    <row r="35" spans="6:14" x14ac:dyDescent="0.25">
      <c r="G35" s="5" t="s">
        <v>434</v>
      </c>
      <c r="J35" s="26">
        <v>3</v>
      </c>
      <c r="K35" s="169" t="str">
        <f>"&gt;="&amp;Forside!$H$8</f>
        <v>&gt;=1,35</v>
      </c>
    </row>
    <row r="36" spans="6:14" ht="12.75" customHeight="1" x14ac:dyDescent="0.25">
      <c r="G36" s="5" t="s">
        <v>431</v>
      </c>
      <c r="J36" s="26">
        <v>2</v>
      </c>
      <c r="K36" s="169" t="str">
        <f>"&gt;="&amp;Forside!$H$9</f>
        <v>&gt;=0,75</v>
      </c>
    </row>
    <row r="37" spans="6:14" ht="13.5" customHeight="1" x14ac:dyDescent="0.25">
      <c r="J37" s="29">
        <v>1</v>
      </c>
      <c r="K37" s="168" t="str">
        <f>"&lt;"&amp;Forside!$H$9</f>
        <v>&lt;0,75</v>
      </c>
    </row>
    <row r="38" spans="6:14" ht="13.5" customHeight="1" x14ac:dyDescent="0.25"/>
    <row r="42" spans="6:14" ht="16" x14ac:dyDescent="0.25">
      <c r="F42" s="39"/>
    </row>
    <row r="43" spans="6:14" ht="23.25" customHeight="1" x14ac:dyDescent="0.4">
      <c r="F43" s="39"/>
      <c r="G43" s="137" t="s">
        <v>41</v>
      </c>
    </row>
    <row r="44" spans="6:14" ht="23.25" customHeight="1" thickBot="1" x14ac:dyDescent="0.45">
      <c r="F44" s="39"/>
      <c r="G44" s="137"/>
    </row>
    <row r="45" spans="6:14" ht="14.5" thickBot="1" x14ac:dyDescent="0.35">
      <c r="G45" s="142" t="s">
        <v>158</v>
      </c>
      <c r="H45" s="143" t="s">
        <v>177</v>
      </c>
      <c r="I45" s="143" t="s">
        <v>160</v>
      </c>
      <c r="J45" s="144" t="s">
        <v>175</v>
      </c>
      <c r="L45" s="256" t="s">
        <v>174</v>
      </c>
      <c r="M45" s="257"/>
      <c r="N45" s="258"/>
    </row>
    <row r="46" spans="6:14" ht="15.75" customHeight="1" x14ac:dyDescent="0.3">
      <c r="G46" s="140" t="s">
        <v>192</v>
      </c>
      <c r="H46" s="141">
        <v>3450</v>
      </c>
      <c r="I46" s="141">
        <f>Enhedspriser!C3</f>
        <v>3750</v>
      </c>
      <c r="J46" s="145">
        <f>H46*I46</f>
        <v>12937500</v>
      </c>
      <c r="L46" s="250" t="s">
        <v>172</v>
      </c>
      <c r="M46" s="251"/>
      <c r="N46" s="252"/>
    </row>
    <row r="47" spans="6:14" ht="12.75" customHeight="1" x14ac:dyDescent="0.3">
      <c r="G47" s="140" t="s">
        <v>55</v>
      </c>
      <c r="H47" s="141">
        <v>1</v>
      </c>
      <c r="I47" s="141">
        <f>Enhedspriser!C7</f>
        <v>300000</v>
      </c>
      <c r="J47" s="145">
        <f>H47*I47</f>
        <v>300000</v>
      </c>
      <c r="L47" s="250"/>
      <c r="M47" s="251"/>
      <c r="N47" s="252"/>
    </row>
    <row r="48" spans="6:14" ht="13" x14ac:dyDescent="0.3">
      <c r="G48" s="140" t="s">
        <v>207</v>
      </c>
      <c r="H48" s="141">
        <v>250</v>
      </c>
      <c r="I48" s="141">
        <f>Enhedspriser!C2</f>
        <v>5000</v>
      </c>
      <c r="J48" s="145">
        <f t="shared" ref="J48:J53" si="1">H48*I48</f>
        <v>1250000</v>
      </c>
      <c r="L48" s="250"/>
      <c r="M48" s="251"/>
      <c r="N48" s="252"/>
    </row>
    <row r="49" spans="1:17" ht="13" x14ac:dyDescent="0.3">
      <c r="G49" s="140"/>
      <c r="H49" s="141"/>
      <c r="I49" s="141"/>
      <c r="J49" s="145">
        <f t="shared" si="1"/>
        <v>0</v>
      </c>
      <c r="L49" s="250"/>
      <c r="M49" s="251"/>
      <c r="N49" s="252"/>
    </row>
    <row r="50" spans="1:17" ht="13" x14ac:dyDescent="0.3">
      <c r="G50" s="140"/>
      <c r="H50" s="141"/>
      <c r="I50" s="141"/>
      <c r="J50" s="145">
        <f t="shared" si="1"/>
        <v>0</v>
      </c>
      <c r="L50" s="250"/>
      <c r="M50" s="251"/>
      <c r="N50" s="252"/>
    </row>
    <row r="51" spans="1:17" ht="13" x14ac:dyDescent="0.3">
      <c r="G51" s="140"/>
      <c r="H51" s="141"/>
      <c r="I51" s="141"/>
      <c r="J51" s="145">
        <f t="shared" si="1"/>
        <v>0</v>
      </c>
      <c r="L51" s="250"/>
      <c r="M51" s="251"/>
      <c r="N51" s="252"/>
    </row>
    <row r="52" spans="1:17" ht="13.5" thickBot="1" x14ac:dyDescent="0.35">
      <c r="G52" s="140"/>
      <c r="H52" s="141"/>
      <c r="I52" s="141"/>
      <c r="J52" s="145">
        <f t="shared" si="1"/>
        <v>0</v>
      </c>
      <c r="L52" s="253"/>
      <c r="M52" s="254"/>
      <c r="N52" s="255"/>
    </row>
    <row r="53" spans="1:17" ht="14.25" customHeight="1" x14ac:dyDescent="0.3">
      <c r="G53" s="140"/>
      <c r="H53" s="141"/>
      <c r="I53" s="141"/>
      <c r="J53" s="145">
        <f t="shared" si="1"/>
        <v>0</v>
      </c>
    </row>
    <row r="54" spans="1:17" ht="13" x14ac:dyDescent="0.3">
      <c r="G54" s="147" t="s">
        <v>176</v>
      </c>
      <c r="H54" s="148"/>
      <c r="I54" s="148"/>
      <c r="J54" s="145">
        <f>SUM(J46:J53)*Enhedspriser!$C$9</f>
        <v>434625</v>
      </c>
    </row>
    <row r="55" spans="1:17" ht="27.75" customHeight="1" thickBot="1" x14ac:dyDescent="0.35">
      <c r="G55" s="149" t="s">
        <v>175</v>
      </c>
      <c r="H55" s="150"/>
      <c r="I55" s="150"/>
      <c r="J55" s="146">
        <f>SUM(J46:J54)</f>
        <v>14922125</v>
      </c>
    </row>
    <row r="61" spans="1:17" ht="13" hidden="1" x14ac:dyDescent="0.3">
      <c r="A61" s="4" t="s">
        <v>143</v>
      </c>
      <c r="M61" s="16"/>
      <c r="N61"/>
      <c r="O61"/>
      <c r="P61" s="44"/>
      <c r="Q61" s="45"/>
    </row>
    <row r="62" spans="1:17" ht="13" hidden="1" x14ac:dyDescent="0.3">
      <c r="A62" s="86">
        <v>0</v>
      </c>
      <c r="M62" s="16"/>
      <c r="N62"/>
      <c r="O62"/>
      <c r="P62" s="44"/>
      <c r="Q62" s="46"/>
    </row>
    <row r="63" spans="1:17" hidden="1" x14ac:dyDescent="0.25">
      <c r="A63" s="87" t="s">
        <v>144</v>
      </c>
    </row>
    <row r="64" spans="1:17" hidden="1" x14ac:dyDescent="0.25">
      <c r="A64" s="87" t="s">
        <v>145</v>
      </c>
    </row>
    <row r="65" spans="1:2" hidden="1" x14ac:dyDescent="0.25">
      <c r="A65" s="87" t="s">
        <v>146</v>
      </c>
    </row>
    <row r="66" spans="1:2" hidden="1" x14ac:dyDescent="0.25">
      <c r="A66" s="3" t="s">
        <v>147</v>
      </c>
    </row>
    <row r="67" spans="1:2" hidden="1" x14ac:dyDescent="0.25">
      <c r="A67" s="3"/>
    </row>
    <row r="68" spans="1:2" ht="13" hidden="1" x14ac:dyDescent="0.3">
      <c r="A68" s="4" t="s">
        <v>66</v>
      </c>
    </row>
    <row r="69" spans="1:2" hidden="1" x14ac:dyDescent="0.25">
      <c r="A69" s="21">
        <v>30</v>
      </c>
      <c r="B69" s="1">
        <v>0</v>
      </c>
    </row>
    <row r="70" spans="1:2" hidden="1" x14ac:dyDescent="0.25">
      <c r="A70" s="21">
        <v>40</v>
      </c>
      <c r="B70" s="1">
        <v>0</v>
      </c>
    </row>
    <row r="71" spans="1:2" hidden="1" x14ac:dyDescent="0.25">
      <c r="A71" s="2">
        <v>50</v>
      </c>
      <c r="B71" s="1">
        <v>1</v>
      </c>
    </row>
    <row r="72" spans="1:2" hidden="1" x14ac:dyDescent="0.25">
      <c r="A72" s="2">
        <v>60</v>
      </c>
      <c r="B72" s="1">
        <v>2</v>
      </c>
    </row>
    <row r="73" spans="1:2" hidden="1" x14ac:dyDescent="0.25">
      <c r="A73" s="2">
        <v>70</v>
      </c>
      <c r="B73" s="1">
        <v>3</v>
      </c>
    </row>
    <row r="74" spans="1:2" hidden="1" x14ac:dyDescent="0.25">
      <c r="A74" s="21">
        <v>80</v>
      </c>
      <c r="B74" s="1">
        <v>4</v>
      </c>
    </row>
    <row r="75" spans="1:2" hidden="1" x14ac:dyDescent="0.25">
      <c r="A75" s="21">
        <v>90</v>
      </c>
      <c r="B75" s="1">
        <v>4</v>
      </c>
    </row>
    <row r="76" spans="1:2" hidden="1" x14ac:dyDescent="0.25">
      <c r="A76" s="21">
        <v>100</v>
      </c>
      <c r="B76" s="1">
        <v>4</v>
      </c>
    </row>
    <row r="77" spans="1:2" hidden="1" x14ac:dyDescent="0.25">
      <c r="A77" s="21">
        <v>110</v>
      </c>
      <c r="B77" s="1">
        <v>4</v>
      </c>
    </row>
    <row r="78" spans="1:2" hidden="1" x14ac:dyDescent="0.25">
      <c r="A78" s="21">
        <v>130</v>
      </c>
      <c r="B78" s="1">
        <v>4</v>
      </c>
    </row>
    <row r="79" spans="1:2" hidden="1" x14ac:dyDescent="0.25"/>
    <row r="80" spans="1:2" ht="13" hidden="1" x14ac:dyDescent="0.3">
      <c r="A80" s="4" t="s">
        <v>67</v>
      </c>
    </row>
    <row r="81" spans="1:2" hidden="1" x14ac:dyDescent="0.25">
      <c r="A81" s="21" t="s">
        <v>68</v>
      </c>
      <c r="B81" s="1">
        <v>0</v>
      </c>
    </row>
    <row r="82" spans="1:2" hidden="1" x14ac:dyDescent="0.25">
      <c r="A82" s="21" t="s">
        <v>148</v>
      </c>
      <c r="B82" s="1">
        <v>1</v>
      </c>
    </row>
    <row r="83" spans="1:2" hidden="1" x14ac:dyDescent="0.25">
      <c r="A83" s="2" t="s">
        <v>149</v>
      </c>
      <c r="B83" s="1">
        <v>2</v>
      </c>
    </row>
    <row r="84" spans="1:2" hidden="1" x14ac:dyDescent="0.25">
      <c r="A84" s="21" t="s">
        <v>139</v>
      </c>
      <c r="B84" s="1">
        <v>3</v>
      </c>
    </row>
    <row r="85" spans="1:2" hidden="1" x14ac:dyDescent="0.25">
      <c r="A85" s="21" t="s">
        <v>150</v>
      </c>
      <c r="B85" s="1">
        <v>4</v>
      </c>
    </row>
    <row r="86" spans="1:2" hidden="1" x14ac:dyDescent="0.25">
      <c r="A86" s="5"/>
    </row>
    <row r="87" spans="1:2" ht="13" hidden="1" x14ac:dyDescent="0.3">
      <c r="A87" s="4" t="s">
        <v>77</v>
      </c>
    </row>
    <row r="88" spans="1:2" hidden="1" x14ac:dyDescent="0.25">
      <c r="A88" s="1" t="s">
        <v>48</v>
      </c>
      <c r="B88" s="1">
        <v>0</v>
      </c>
    </row>
    <row r="89" spans="1:2" hidden="1" x14ac:dyDescent="0.25">
      <c r="A89" s="1" t="s">
        <v>49</v>
      </c>
      <c r="B89" s="1">
        <v>1</v>
      </c>
    </row>
    <row r="90" spans="1:2" hidden="1" x14ac:dyDescent="0.25">
      <c r="A90" s="1" t="s">
        <v>151</v>
      </c>
      <c r="B90" s="1">
        <v>2</v>
      </c>
    </row>
    <row r="91" spans="1:2" hidden="1" x14ac:dyDescent="0.25">
      <c r="A91" s="1" t="s">
        <v>50</v>
      </c>
      <c r="B91" s="1">
        <v>3</v>
      </c>
    </row>
    <row r="92" spans="1:2" hidden="1" x14ac:dyDescent="0.25">
      <c r="A92" s="5" t="s">
        <v>51</v>
      </c>
      <c r="B92" s="1">
        <v>4</v>
      </c>
    </row>
    <row r="93" spans="1:2" hidden="1" x14ac:dyDescent="0.25"/>
    <row r="94" spans="1:2" hidden="1" x14ac:dyDescent="0.25"/>
    <row r="95" spans="1:2" hidden="1" x14ac:dyDescent="0.25"/>
    <row r="96" spans="1:2" ht="13" hidden="1" x14ac:dyDescent="0.3">
      <c r="A96" s="4" t="s">
        <v>52</v>
      </c>
    </row>
    <row r="97" spans="1:2" hidden="1" x14ac:dyDescent="0.25">
      <c r="A97" s="5" t="s">
        <v>103</v>
      </c>
      <c r="B97" s="1" t="s">
        <v>59</v>
      </c>
    </row>
    <row r="98" spans="1:2" hidden="1" x14ac:dyDescent="0.25">
      <c r="A98" s="5" t="s">
        <v>53</v>
      </c>
      <c r="B98" s="1">
        <v>0</v>
      </c>
    </row>
    <row r="99" spans="1:2" hidden="1" x14ac:dyDescent="0.25">
      <c r="A99" s="5" t="s">
        <v>54</v>
      </c>
      <c r="B99" s="1">
        <v>1</v>
      </c>
    </row>
    <row r="100" spans="1:2" hidden="1" x14ac:dyDescent="0.25">
      <c r="A100" s="5" t="s">
        <v>55</v>
      </c>
      <c r="B100" s="1">
        <v>2</v>
      </c>
    </row>
    <row r="101" spans="1:2" hidden="1" x14ac:dyDescent="0.25">
      <c r="A101" s="5" t="s">
        <v>56</v>
      </c>
      <c r="B101" s="1">
        <v>3</v>
      </c>
    </row>
    <row r="102" spans="1:2" hidden="1" x14ac:dyDescent="0.25">
      <c r="A102" s="5" t="s">
        <v>57</v>
      </c>
      <c r="B102" s="1">
        <v>4</v>
      </c>
    </row>
    <row r="103" spans="1:2" hidden="1" x14ac:dyDescent="0.25"/>
    <row r="104" spans="1:2" hidden="1" x14ac:dyDescent="0.25">
      <c r="A104" s="5"/>
    </row>
    <row r="105" spans="1:2" ht="13" hidden="1" x14ac:dyDescent="0.3">
      <c r="A105" s="4" t="s">
        <v>122</v>
      </c>
    </row>
    <row r="106" spans="1:2" hidden="1" x14ac:dyDescent="0.25">
      <c r="A106" s="5" t="s">
        <v>59</v>
      </c>
      <c r="B106" s="1">
        <v>0</v>
      </c>
    </row>
    <row r="107" spans="1:2" hidden="1" x14ac:dyDescent="0.25">
      <c r="A107" s="5" t="s">
        <v>58</v>
      </c>
      <c r="B107" s="1">
        <v>1</v>
      </c>
    </row>
    <row r="108" spans="1:2" hidden="1" x14ac:dyDescent="0.25">
      <c r="A108" s="1" t="s">
        <v>30</v>
      </c>
      <c r="B108" s="1">
        <v>2</v>
      </c>
    </row>
    <row r="109" spans="1:2" hidden="1" x14ac:dyDescent="0.25">
      <c r="A109" s="5" t="s">
        <v>29</v>
      </c>
      <c r="B109" s="1">
        <v>3</v>
      </c>
    </row>
    <row r="110" spans="1:2" hidden="1" x14ac:dyDescent="0.25">
      <c r="A110" s="88" t="s">
        <v>152</v>
      </c>
      <c r="B110" s="1">
        <v>4</v>
      </c>
    </row>
    <row r="111" spans="1:2" hidden="1" x14ac:dyDescent="0.25"/>
    <row r="112" spans="1:2" ht="13" hidden="1" x14ac:dyDescent="0.3">
      <c r="A112" s="4" t="s">
        <v>60</v>
      </c>
    </row>
    <row r="113" spans="1:2" hidden="1" x14ac:dyDescent="0.25">
      <c r="A113" s="5" t="s">
        <v>107</v>
      </c>
      <c r="B113" s="1">
        <v>0</v>
      </c>
    </row>
    <row r="114" spans="1:2" hidden="1" x14ac:dyDescent="0.25">
      <c r="A114" s="23" t="s">
        <v>108</v>
      </c>
      <c r="B114" s="1">
        <v>1</v>
      </c>
    </row>
    <row r="115" spans="1:2" hidden="1" x14ac:dyDescent="0.25">
      <c r="A115" s="5" t="s">
        <v>110</v>
      </c>
      <c r="B115" s="1">
        <v>2</v>
      </c>
    </row>
    <row r="116" spans="1:2" hidden="1" x14ac:dyDescent="0.25">
      <c r="A116" s="5" t="s">
        <v>111</v>
      </c>
      <c r="B116" s="1">
        <v>3</v>
      </c>
    </row>
    <row r="117" spans="1:2" hidden="1" x14ac:dyDescent="0.25">
      <c r="A117" s="5" t="s">
        <v>109</v>
      </c>
      <c r="B117" s="1">
        <v>4</v>
      </c>
    </row>
    <row r="118" spans="1:2" hidden="1" x14ac:dyDescent="0.25"/>
    <row r="119" spans="1:2" ht="13" hidden="1" x14ac:dyDescent="0.3">
      <c r="A119" s="4" t="s">
        <v>61</v>
      </c>
    </row>
    <row r="120" spans="1:2" hidden="1" x14ac:dyDescent="0.25">
      <c r="A120" s="5" t="s">
        <v>153</v>
      </c>
      <c r="B120" s="1">
        <v>0</v>
      </c>
    </row>
    <row r="121" spans="1:2" hidden="1" x14ac:dyDescent="0.25">
      <c r="A121" s="5" t="s">
        <v>154</v>
      </c>
      <c r="B121" s="1">
        <v>1</v>
      </c>
    </row>
    <row r="122" spans="1:2" hidden="1" x14ac:dyDescent="0.25">
      <c r="A122" s="5" t="s">
        <v>155</v>
      </c>
      <c r="B122" s="1">
        <v>2</v>
      </c>
    </row>
    <row r="123" spans="1:2" hidden="1" x14ac:dyDescent="0.25">
      <c r="A123" s="5" t="s">
        <v>156</v>
      </c>
      <c r="B123" s="1">
        <v>3</v>
      </c>
    </row>
    <row r="124" spans="1:2" hidden="1" x14ac:dyDescent="0.25">
      <c r="A124" s="1" t="s">
        <v>142</v>
      </c>
      <c r="B124" s="1">
        <v>4</v>
      </c>
    </row>
    <row r="125" spans="1:2" hidden="1" x14ac:dyDescent="0.25"/>
    <row r="126" spans="1:2" hidden="1" x14ac:dyDescent="0.25"/>
    <row r="127" spans="1:2" ht="13" hidden="1" x14ac:dyDescent="0.3">
      <c r="A127" s="4" t="s">
        <v>62</v>
      </c>
    </row>
    <row r="128" spans="1:2" hidden="1" x14ac:dyDescent="0.25">
      <c r="A128" s="5" t="s">
        <v>53</v>
      </c>
      <c r="B128" s="1">
        <v>0</v>
      </c>
    </row>
    <row r="129" spans="1:2" hidden="1" x14ac:dyDescent="0.25">
      <c r="A129" s="5" t="s">
        <v>65</v>
      </c>
      <c r="B129" s="1">
        <v>1</v>
      </c>
    </row>
    <row r="130" spans="1:2" hidden="1" x14ac:dyDescent="0.25">
      <c r="A130" s="5" t="s">
        <v>31</v>
      </c>
      <c r="B130" s="1">
        <v>2</v>
      </c>
    </row>
    <row r="131" spans="1:2" hidden="1" x14ac:dyDescent="0.25">
      <c r="A131" s="5" t="s">
        <v>64</v>
      </c>
      <c r="B131" s="1">
        <v>3</v>
      </c>
    </row>
    <row r="132" spans="1:2" hidden="1" x14ac:dyDescent="0.25">
      <c r="A132" s="5" t="s">
        <v>63</v>
      </c>
      <c r="B132" s="1">
        <v>4</v>
      </c>
    </row>
    <row r="133" spans="1:2" hidden="1" x14ac:dyDescent="0.25"/>
    <row r="134" spans="1:2" hidden="1" x14ac:dyDescent="0.25"/>
    <row r="135" spans="1:2" hidden="1" x14ac:dyDescent="0.25"/>
    <row r="136" spans="1:2" ht="13" hidden="1" x14ac:dyDescent="0.3">
      <c r="A136" s="4" t="s">
        <v>78</v>
      </c>
    </row>
    <row r="137" spans="1:2" hidden="1" x14ac:dyDescent="0.25">
      <c r="A137" s="5" t="s">
        <v>12</v>
      </c>
      <c r="B137" s="1">
        <v>0</v>
      </c>
    </row>
    <row r="138" spans="1:2" hidden="1" x14ac:dyDescent="0.25">
      <c r="A138" s="5" t="s">
        <v>82</v>
      </c>
      <c r="B138" s="1">
        <v>1</v>
      </c>
    </row>
    <row r="139" spans="1:2" hidden="1" x14ac:dyDescent="0.25">
      <c r="A139" s="5" t="s">
        <v>81</v>
      </c>
      <c r="B139" s="1">
        <v>2</v>
      </c>
    </row>
    <row r="140" spans="1:2" hidden="1" x14ac:dyDescent="0.25">
      <c r="A140" s="5" t="s">
        <v>80</v>
      </c>
      <c r="B140" s="1">
        <v>3</v>
      </c>
    </row>
    <row r="141" spans="1:2" hidden="1" x14ac:dyDescent="0.25">
      <c r="A141" s="5" t="s">
        <v>79</v>
      </c>
      <c r="B141" s="1">
        <v>4</v>
      </c>
    </row>
    <row r="142" spans="1:2" hidden="1" x14ac:dyDescent="0.25"/>
    <row r="143" spans="1:2" hidden="1" x14ac:dyDescent="0.25">
      <c r="A143" s="5" t="s">
        <v>70</v>
      </c>
      <c r="B143" s="1">
        <v>2</v>
      </c>
    </row>
    <row r="144" spans="1:2" hidden="1" x14ac:dyDescent="0.25">
      <c r="A144" s="5"/>
    </row>
    <row r="145" spans="1:2" ht="13" hidden="1" x14ac:dyDescent="0.3">
      <c r="A145" s="4" t="s">
        <v>71</v>
      </c>
    </row>
    <row r="146" spans="1:2" hidden="1" x14ac:dyDescent="0.25">
      <c r="A146" s="1" t="s">
        <v>72</v>
      </c>
      <c r="B146" s="1">
        <v>4</v>
      </c>
    </row>
    <row r="147" spans="1:2" hidden="1" x14ac:dyDescent="0.25">
      <c r="A147" s="1" t="s">
        <v>73</v>
      </c>
      <c r="B147" s="1">
        <v>3</v>
      </c>
    </row>
    <row r="148" spans="1:2" hidden="1" x14ac:dyDescent="0.25">
      <c r="A148" s="1" t="s">
        <v>74</v>
      </c>
      <c r="B148" s="1">
        <v>2</v>
      </c>
    </row>
    <row r="149" spans="1:2" hidden="1" x14ac:dyDescent="0.25">
      <c r="A149" s="1" t="s">
        <v>75</v>
      </c>
      <c r="B149" s="1">
        <v>1</v>
      </c>
    </row>
    <row r="150" spans="1:2" hidden="1" x14ac:dyDescent="0.25">
      <c r="A150" s="1" t="s">
        <v>76</v>
      </c>
      <c r="B150" s="1">
        <v>0</v>
      </c>
    </row>
    <row r="151" spans="1:2" hidden="1" x14ac:dyDescent="0.25"/>
    <row r="152" spans="1:2" hidden="1" x14ac:dyDescent="0.25"/>
    <row r="153" spans="1:2" ht="13" hidden="1" x14ac:dyDescent="0.3">
      <c r="A153" s="4" t="s">
        <v>78</v>
      </c>
    </row>
    <row r="154" spans="1:2" hidden="1" x14ac:dyDescent="0.25">
      <c r="A154" s="5" t="s">
        <v>79</v>
      </c>
      <c r="B154" s="1">
        <v>4</v>
      </c>
    </row>
    <row r="155" spans="1:2" hidden="1" x14ac:dyDescent="0.25">
      <c r="A155" s="5" t="s">
        <v>80</v>
      </c>
      <c r="B155" s="1">
        <v>3</v>
      </c>
    </row>
    <row r="156" spans="1:2" hidden="1" x14ac:dyDescent="0.25">
      <c r="A156" s="5" t="s">
        <v>81</v>
      </c>
      <c r="B156" s="1">
        <v>2</v>
      </c>
    </row>
    <row r="157" spans="1:2" hidden="1" x14ac:dyDescent="0.25">
      <c r="A157" s="5" t="s">
        <v>82</v>
      </c>
      <c r="B157" s="1">
        <v>1</v>
      </c>
    </row>
    <row r="158" spans="1:2" hidden="1" x14ac:dyDescent="0.25">
      <c r="A158" s="5" t="s">
        <v>12</v>
      </c>
      <c r="B158" s="1">
        <v>0</v>
      </c>
    </row>
    <row r="159" spans="1:2" hidden="1" x14ac:dyDescent="0.25"/>
    <row r="160" spans="1:2" ht="13" hidden="1" x14ac:dyDescent="0.3">
      <c r="A160" s="4" t="s">
        <v>69</v>
      </c>
    </row>
    <row r="161" spans="1:2" hidden="1" x14ac:dyDescent="0.25">
      <c r="A161" s="5" t="s">
        <v>63</v>
      </c>
      <c r="B161" s="1">
        <v>4</v>
      </c>
    </row>
    <row r="162" spans="1:2" hidden="1" x14ac:dyDescent="0.25">
      <c r="A162" s="5" t="s">
        <v>64</v>
      </c>
      <c r="B162" s="1">
        <v>3</v>
      </c>
    </row>
    <row r="163" spans="1:2" hidden="1" x14ac:dyDescent="0.25">
      <c r="A163" s="5" t="s">
        <v>31</v>
      </c>
      <c r="B163" s="1">
        <v>2</v>
      </c>
    </row>
    <row r="164" spans="1:2" hidden="1" x14ac:dyDescent="0.25">
      <c r="A164" s="5" t="s">
        <v>65</v>
      </c>
      <c r="B164" s="1">
        <v>1</v>
      </c>
    </row>
    <row r="165" spans="1:2" hidden="1" x14ac:dyDescent="0.25">
      <c r="A165" s="5" t="s">
        <v>53</v>
      </c>
      <c r="B165" s="1">
        <v>0</v>
      </c>
    </row>
    <row r="166" spans="1:2" hidden="1" x14ac:dyDescent="0.25"/>
    <row r="167" spans="1:2" hidden="1" x14ac:dyDescent="0.25"/>
    <row r="168" spans="1:2" ht="13" hidden="1" x14ac:dyDescent="0.3">
      <c r="A168" s="4" t="s">
        <v>83</v>
      </c>
    </row>
    <row r="169" spans="1:2" hidden="1" x14ac:dyDescent="0.25">
      <c r="A169" s="5" t="s">
        <v>63</v>
      </c>
      <c r="B169" s="1">
        <v>4</v>
      </c>
    </row>
    <row r="170" spans="1:2" hidden="1" x14ac:dyDescent="0.25">
      <c r="A170" s="5" t="s">
        <v>64</v>
      </c>
      <c r="B170" s="1">
        <v>3</v>
      </c>
    </row>
    <row r="171" spans="1:2" hidden="1" x14ac:dyDescent="0.25">
      <c r="A171" s="5" t="s">
        <v>31</v>
      </c>
      <c r="B171" s="1">
        <v>2</v>
      </c>
    </row>
    <row r="172" spans="1:2" hidden="1" x14ac:dyDescent="0.25">
      <c r="A172" s="5" t="s">
        <v>65</v>
      </c>
      <c r="B172" s="1">
        <v>1</v>
      </c>
    </row>
    <row r="173" spans="1:2" hidden="1" x14ac:dyDescent="0.25">
      <c r="A173" s="5" t="s">
        <v>53</v>
      </c>
      <c r="B173" s="1">
        <v>0</v>
      </c>
    </row>
    <row r="174" spans="1:2" hidden="1" x14ac:dyDescent="0.25"/>
  </sheetData>
  <mergeCells count="5">
    <mergeCell ref="M4:N4"/>
    <mergeCell ref="A13:B16"/>
    <mergeCell ref="A19:B23"/>
    <mergeCell ref="L45:N45"/>
    <mergeCell ref="L46:N52"/>
  </mergeCells>
  <dataValidations count="9">
    <dataValidation type="list" allowBlank="1" showInputMessage="1" showErrorMessage="1" sqref="H27" xr:uid="{B33C27D7-226B-4425-9841-38B19105D07A}">
      <formula1>$A$113:$A$117</formula1>
    </dataValidation>
    <dataValidation type="list" allowBlank="1" showInputMessage="1" showErrorMessage="1" sqref="H25" xr:uid="{4D6084B5-DC20-485D-9A4E-69AB788359E9}">
      <formula1>$A$97:$A$102</formula1>
    </dataValidation>
    <dataValidation type="list" allowBlank="1" showInputMessage="1" showErrorMessage="1" sqref="H21" xr:uid="{A11E0EEF-79CC-4CC0-940F-82601C4FBBFC}">
      <formula1>$A$106:$A$110</formula1>
    </dataValidation>
    <dataValidation type="list" allowBlank="1" showInputMessage="1" showErrorMessage="1" sqref="H28" xr:uid="{080EBB7E-BDD1-41E0-9AD1-333709314BA9}">
      <formula1>$A$128:$A$132</formula1>
    </dataValidation>
    <dataValidation type="list" allowBlank="1" showInputMessage="1" showErrorMessage="1" sqref="H24" xr:uid="{6C63707F-C849-4653-973D-ABCD807C9F72}">
      <formula1>$A$137:$A$141</formula1>
    </dataValidation>
    <dataValidation type="list" allowBlank="1" showInputMessage="1" showErrorMessage="1" sqref="H29" xr:uid="{D0756D44-97AB-4C0C-96DE-5C3CB6DC425A}">
      <formula1>$A$120:$A$124</formula1>
    </dataValidation>
    <dataValidation type="list" allowBlank="1" showInputMessage="1" showErrorMessage="1" sqref="H7" xr:uid="{CE3EF6C6-648E-4553-BB00-10B65B72DB76}">
      <formula1>$A$69:$A$78</formula1>
    </dataValidation>
    <dataValidation type="list" allowBlank="1" showInputMessage="1" showErrorMessage="1" sqref="H23" xr:uid="{5CD6EA09-9B0C-4B53-A2CA-411E4790081E}">
      <formula1>$A$88:$A$92</formula1>
    </dataValidation>
    <dataValidation type="list" allowBlank="1" showInputMessage="1" showErrorMessage="1" sqref="H5" xr:uid="{FBE94D28-8CD5-480E-B7FE-10A5F7F2D27B}">
      <formula1>$A$81:$A$85</formula1>
    </dataValidation>
  </dataValidations>
  <hyperlinks>
    <hyperlink ref="C5" r:id="rId1" xr:uid="{BA769643-6932-472B-AA76-AA44D4222736}"/>
  </hyperlinks>
  <pageMargins left="0.74803149606299213" right="0.74803149606299213" top="0.6692913385826772" bottom="0.59055118110236227" header="0.51181102362204722" footer="0.51181102362204722"/>
  <pageSetup paperSize="9" scale="70" fitToWidth="0" fitToHeight="0" orientation="portrait" r:id="rId2"/>
  <headerFooter scaleWithDoc="0">
    <oddHeader xml:space="preserve">&amp;L&amp;"Verdana,Normal"&amp;13Syddjurs Kommune - Stiprioritering
&amp;8 2024-145
</oddHeader>
    <oddFooter>&amp;L&amp;08C:\Users\mjbp\Downloads\stiprioriteringsmodel_20250811.xlsm
Sheet: &amp;A</oddFooter>
    <evenHeader>&amp;R&amp;"Verdana,normal"&amp;13Favrskov Kommune - Anlægsprioritering&amp;"Verdana,normal"&amp;8A059633, Stiplan projekter&amp;L&amp;"Verdana,normal"&amp;8&amp;P / &amp;N</evenHeader>
    <evenFooter>&amp;R&amp;"Verdana,normal"&amp;8&amp;Z&amp;F
Sheet: &amp;A&amp;L&amp;G</evenFooter>
  </headerFooter>
  <drawing r:id="rId3"/>
  <legacyDrawingHF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4B5EC5F424DF0438C02C794499518FB" ma:contentTypeVersion="0" ma:contentTypeDescription="Create a new document." ma:contentTypeScope="" ma:versionID="5ab65c60870f55e49362d4efb7fd413f">
  <xsd:schema xmlns:xsd="http://www.w3.org/2001/XMLSchema" xmlns:xs="http://www.w3.org/2001/XMLSchema" xmlns:p="http://schemas.microsoft.com/office/2006/metadata/properties" targetNamespace="http://schemas.microsoft.com/office/2006/metadata/properties" ma:root="true" ma:fieldsID="62ea347ee6c5493b9e14b1c149bab3d1">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6786D2E-7FEC-4293-BCB2-0A6A1FA3042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37ED8F77-6D2C-4F10-AAAF-FDEDFCF07007}">
  <ds:schemaRefs>
    <ds:schemaRef ds:uri="http://schemas.microsoft.com/sharepoint/v3/contenttype/forms"/>
  </ds:schemaRefs>
</ds:datastoreItem>
</file>

<file path=customXml/itemProps3.xml><?xml version="1.0" encoding="utf-8"?>
<ds:datastoreItem xmlns:ds="http://schemas.openxmlformats.org/officeDocument/2006/customXml" ds:itemID="{08393C4B-49F9-44C4-87B3-64451CF8E115}">
  <ds:schemaRefs>
    <ds:schemaRef ds:uri="http://purl.org/dc/elements/1.1/"/>
    <ds:schemaRef ds:uri="http://schemas.microsoft.com/office/2006/documentManagement/types"/>
    <ds:schemaRef ds:uri="http://purl.org/dc/terms/"/>
    <ds:schemaRef ds:uri="http://schemas.microsoft.com/office/2006/metadata/properties"/>
    <ds:schemaRef ds:uri="http://schemas.openxmlformats.org/package/2006/metadata/core-properties"/>
    <ds:schemaRef ds:uri="http://schemas.microsoft.com/office/infopath/2007/PartnerControl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53</vt:i4>
      </vt:variant>
      <vt:variant>
        <vt:lpstr>Navngivne områder</vt:lpstr>
      </vt:variant>
      <vt:variant>
        <vt:i4>245</vt:i4>
      </vt:variant>
    </vt:vector>
  </HeadingPairs>
  <TitlesOfParts>
    <vt:vector size="298" baseType="lpstr">
      <vt:lpstr>Forside</vt:lpstr>
      <vt:lpstr>Skabelon</vt:lpstr>
      <vt:lpstr>Prioritering</vt:lpstr>
      <vt:lpstr>Enhedspriser</vt:lpstr>
      <vt:lpstr>1</vt:lpstr>
      <vt:lpstr>2</vt:lpstr>
      <vt:lpstr>3</vt:lpstr>
      <vt:lpstr>5</vt:lpstr>
      <vt:lpstr>6</vt:lpstr>
      <vt:lpstr>7</vt:lpstr>
      <vt:lpstr>8</vt:lpstr>
      <vt:lpstr>9</vt:lpstr>
      <vt:lpstr>10</vt:lpstr>
      <vt:lpstr>11</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33</vt:lpstr>
      <vt:lpstr>34</vt:lpstr>
      <vt:lpstr>37</vt:lpstr>
      <vt:lpstr>38</vt:lpstr>
      <vt:lpstr>39</vt:lpstr>
      <vt:lpstr>41</vt:lpstr>
      <vt:lpstr>42</vt:lpstr>
      <vt:lpstr>43</vt:lpstr>
      <vt:lpstr>44</vt:lpstr>
      <vt:lpstr>45</vt:lpstr>
      <vt:lpstr>46</vt:lpstr>
      <vt:lpstr>49</vt:lpstr>
      <vt:lpstr>50</vt:lpstr>
      <vt:lpstr>51</vt:lpstr>
      <vt:lpstr>52</vt:lpstr>
      <vt:lpstr>53</vt:lpstr>
      <vt:lpstr>54</vt:lpstr>
      <vt:lpstr>55</vt:lpstr>
      <vt:lpstr>Ark1</vt:lpstr>
      <vt:lpstr>'1'!cykelsti</vt:lpstr>
      <vt:lpstr>'10'!cykelsti</vt:lpstr>
      <vt:lpstr>'11'!cykelsti</vt:lpstr>
      <vt:lpstr>'13'!cykelsti</vt:lpstr>
      <vt:lpstr>'14'!cykelsti</vt:lpstr>
      <vt:lpstr>'15'!cykelsti</vt:lpstr>
      <vt:lpstr>'16'!cykelsti</vt:lpstr>
      <vt:lpstr>'17'!cykelsti</vt:lpstr>
      <vt:lpstr>'18'!cykelsti</vt:lpstr>
      <vt:lpstr>'19'!cykelsti</vt:lpstr>
      <vt:lpstr>'2'!cykelsti</vt:lpstr>
      <vt:lpstr>'20'!cykelsti</vt:lpstr>
      <vt:lpstr>'21'!cykelsti</vt:lpstr>
      <vt:lpstr>'22'!cykelsti</vt:lpstr>
      <vt:lpstr>'23'!cykelsti</vt:lpstr>
      <vt:lpstr>'24'!cykelsti</vt:lpstr>
      <vt:lpstr>'25'!cykelsti</vt:lpstr>
      <vt:lpstr>'26'!cykelsti</vt:lpstr>
      <vt:lpstr>'27'!cykelsti</vt:lpstr>
      <vt:lpstr>'28'!cykelsti</vt:lpstr>
      <vt:lpstr>'29'!cykelsti</vt:lpstr>
      <vt:lpstr>'3'!cykelsti</vt:lpstr>
      <vt:lpstr>'30'!cykelsti</vt:lpstr>
      <vt:lpstr>'31'!cykelsti</vt:lpstr>
      <vt:lpstr>'32'!cykelsti</vt:lpstr>
      <vt:lpstr>'33'!cykelsti</vt:lpstr>
      <vt:lpstr>'34'!cykelsti</vt:lpstr>
      <vt:lpstr>'37'!cykelsti</vt:lpstr>
      <vt:lpstr>'38'!cykelsti</vt:lpstr>
      <vt:lpstr>'39'!cykelsti</vt:lpstr>
      <vt:lpstr>'41'!cykelsti</vt:lpstr>
      <vt:lpstr>'42'!cykelsti</vt:lpstr>
      <vt:lpstr>'43'!cykelsti</vt:lpstr>
      <vt:lpstr>'44'!cykelsti</vt:lpstr>
      <vt:lpstr>'45'!cykelsti</vt:lpstr>
      <vt:lpstr>'46'!cykelsti</vt:lpstr>
      <vt:lpstr>'49'!cykelsti</vt:lpstr>
      <vt:lpstr>'5'!cykelsti</vt:lpstr>
      <vt:lpstr>'50'!cykelsti</vt:lpstr>
      <vt:lpstr>'51'!cykelsti</vt:lpstr>
      <vt:lpstr>'52'!cykelsti</vt:lpstr>
      <vt:lpstr>'53'!cykelsti</vt:lpstr>
      <vt:lpstr>'54'!cykelsti</vt:lpstr>
      <vt:lpstr>'55'!cykelsti</vt:lpstr>
      <vt:lpstr>'6'!cykelsti</vt:lpstr>
      <vt:lpstr>'7'!cykelsti</vt:lpstr>
      <vt:lpstr>'8'!cykelsti</vt:lpstr>
      <vt:lpstr>'9'!cykelsti</vt:lpstr>
      <vt:lpstr>Skabelon!cykelsti</vt:lpstr>
      <vt:lpstr>'1'!JaNej</vt:lpstr>
      <vt:lpstr>'10'!JaNej</vt:lpstr>
      <vt:lpstr>'11'!JaNej</vt:lpstr>
      <vt:lpstr>'13'!JaNej</vt:lpstr>
      <vt:lpstr>'14'!JaNej</vt:lpstr>
      <vt:lpstr>'15'!JaNej</vt:lpstr>
      <vt:lpstr>'16'!JaNej</vt:lpstr>
      <vt:lpstr>'17'!JaNej</vt:lpstr>
      <vt:lpstr>'18'!JaNej</vt:lpstr>
      <vt:lpstr>'19'!JaNej</vt:lpstr>
      <vt:lpstr>'2'!JaNej</vt:lpstr>
      <vt:lpstr>'20'!JaNej</vt:lpstr>
      <vt:lpstr>'21'!JaNej</vt:lpstr>
      <vt:lpstr>'22'!JaNej</vt:lpstr>
      <vt:lpstr>'23'!JaNej</vt:lpstr>
      <vt:lpstr>'24'!JaNej</vt:lpstr>
      <vt:lpstr>'25'!JaNej</vt:lpstr>
      <vt:lpstr>'26'!JaNej</vt:lpstr>
      <vt:lpstr>'27'!JaNej</vt:lpstr>
      <vt:lpstr>'28'!JaNej</vt:lpstr>
      <vt:lpstr>'29'!JaNej</vt:lpstr>
      <vt:lpstr>'3'!JaNej</vt:lpstr>
      <vt:lpstr>'30'!JaNej</vt:lpstr>
      <vt:lpstr>'31'!JaNej</vt:lpstr>
      <vt:lpstr>'32'!JaNej</vt:lpstr>
      <vt:lpstr>'33'!JaNej</vt:lpstr>
      <vt:lpstr>'34'!JaNej</vt:lpstr>
      <vt:lpstr>'37'!JaNej</vt:lpstr>
      <vt:lpstr>'38'!JaNej</vt:lpstr>
      <vt:lpstr>'39'!JaNej</vt:lpstr>
      <vt:lpstr>'41'!JaNej</vt:lpstr>
      <vt:lpstr>'42'!JaNej</vt:lpstr>
      <vt:lpstr>'43'!JaNej</vt:lpstr>
      <vt:lpstr>'44'!JaNej</vt:lpstr>
      <vt:lpstr>'45'!JaNej</vt:lpstr>
      <vt:lpstr>'46'!JaNej</vt:lpstr>
      <vt:lpstr>'49'!JaNej</vt:lpstr>
      <vt:lpstr>'5'!JaNej</vt:lpstr>
      <vt:lpstr>'50'!JaNej</vt:lpstr>
      <vt:lpstr>'51'!JaNej</vt:lpstr>
      <vt:lpstr>'52'!JaNej</vt:lpstr>
      <vt:lpstr>'53'!JaNej</vt:lpstr>
      <vt:lpstr>'54'!JaNej</vt:lpstr>
      <vt:lpstr>'55'!JaNej</vt:lpstr>
      <vt:lpstr>'6'!JaNej</vt:lpstr>
      <vt:lpstr>'7'!JaNej</vt:lpstr>
      <vt:lpstr>'8'!JaNej</vt:lpstr>
      <vt:lpstr>'9'!JaNej</vt:lpstr>
      <vt:lpstr>Skabelon!JaNej</vt:lpstr>
      <vt:lpstr>'1'!Karakter</vt:lpstr>
      <vt:lpstr>'10'!Karakter</vt:lpstr>
      <vt:lpstr>'11'!Karakter</vt:lpstr>
      <vt:lpstr>'13'!Karakter</vt:lpstr>
      <vt:lpstr>'14'!Karakter</vt:lpstr>
      <vt:lpstr>'15'!Karakter</vt:lpstr>
      <vt:lpstr>'16'!Karakter</vt:lpstr>
      <vt:lpstr>'17'!Karakter</vt:lpstr>
      <vt:lpstr>'18'!Karakter</vt:lpstr>
      <vt:lpstr>'19'!Karakter</vt:lpstr>
      <vt:lpstr>'2'!Karakter</vt:lpstr>
      <vt:lpstr>'20'!Karakter</vt:lpstr>
      <vt:lpstr>'21'!Karakter</vt:lpstr>
      <vt:lpstr>'22'!Karakter</vt:lpstr>
      <vt:lpstr>'23'!Karakter</vt:lpstr>
      <vt:lpstr>'24'!Karakter</vt:lpstr>
      <vt:lpstr>'25'!Karakter</vt:lpstr>
      <vt:lpstr>'26'!Karakter</vt:lpstr>
      <vt:lpstr>'27'!Karakter</vt:lpstr>
      <vt:lpstr>'28'!Karakter</vt:lpstr>
      <vt:lpstr>'29'!Karakter</vt:lpstr>
      <vt:lpstr>'3'!Karakter</vt:lpstr>
      <vt:lpstr>'30'!Karakter</vt:lpstr>
      <vt:lpstr>'31'!Karakter</vt:lpstr>
      <vt:lpstr>'32'!Karakter</vt:lpstr>
      <vt:lpstr>'33'!Karakter</vt:lpstr>
      <vt:lpstr>'34'!Karakter</vt:lpstr>
      <vt:lpstr>'37'!Karakter</vt:lpstr>
      <vt:lpstr>'38'!Karakter</vt:lpstr>
      <vt:lpstr>'39'!Karakter</vt:lpstr>
      <vt:lpstr>'41'!Karakter</vt:lpstr>
      <vt:lpstr>'42'!Karakter</vt:lpstr>
      <vt:lpstr>'43'!Karakter</vt:lpstr>
      <vt:lpstr>'44'!Karakter</vt:lpstr>
      <vt:lpstr>'45'!Karakter</vt:lpstr>
      <vt:lpstr>'46'!Karakter</vt:lpstr>
      <vt:lpstr>'49'!Karakter</vt:lpstr>
      <vt:lpstr>'5'!Karakter</vt:lpstr>
      <vt:lpstr>'50'!Karakter</vt:lpstr>
      <vt:lpstr>'51'!Karakter</vt:lpstr>
      <vt:lpstr>'52'!Karakter</vt:lpstr>
      <vt:lpstr>'53'!Karakter</vt:lpstr>
      <vt:lpstr>'54'!Karakter</vt:lpstr>
      <vt:lpstr>'55'!Karakter</vt:lpstr>
      <vt:lpstr>'6'!Karakter</vt:lpstr>
      <vt:lpstr>'7'!Karakter</vt:lpstr>
      <vt:lpstr>'8'!Karakter</vt:lpstr>
      <vt:lpstr>'9'!Karakter</vt:lpstr>
      <vt:lpstr>Skabelon!Karakter</vt:lpstr>
      <vt:lpstr>'1'!Krydsningsmulighed</vt:lpstr>
      <vt:lpstr>'10'!Krydsningsmulighed</vt:lpstr>
      <vt:lpstr>'11'!Krydsningsmulighed</vt:lpstr>
      <vt:lpstr>'13'!Krydsningsmulighed</vt:lpstr>
      <vt:lpstr>'14'!Krydsningsmulighed</vt:lpstr>
      <vt:lpstr>'15'!Krydsningsmulighed</vt:lpstr>
      <vt:lpstr>'16'!Krydsningsmulighed</vt:lpstr>
      <vt:lpstr>'17'!Krydsningsmulighed</vt:lpstr>
      <vt:lpstr>'18'!Krydsningsmulighed</vt:lpstr>
      <vt:lpstr>'19'!Krydsningsmulighed</vt:lpstr>
      <vt:lpstr>'2'!Krydsningsmulighed</vt:lpstr>
      <vt:lpstr>'20'!Krydsningsmulighed</vt:lpstr>
      <vt:lpstr>'21'!Krydsningsmulighed</vt:lpstr>
      <vt:lpstr>'22'!Krydsningsmulighed</vt:lpstr>
      <vt:lpstr>'23'!Krydsningsmulighed</vt:lpstr>
      <vt:lpstr>'24'!Krydsningsmulighed</vt:lpstr>
      <vt:lpstr>'25'!Krydsningsmulighed</vt:lpstr>
      <vt:lpstr>'26'!Krydsningsmulighed</vt:lpstr>
      <vt:lpstr>'27'!Krydsningsmulighed</vt:lpstr>
      <vt:lpstr>'28'!Krydsningsmulighed</vt:lpstr>
      <vt:lpstr>'29'!Krydsningsmulighed</vt:lpstr>
      <vt:lpstr>'3'!Krydsningsmulighed</vt:lpstr>
      <vt:lpstr>'30'!Krydsningsmulighed</vt:lpstr>
      <vt:lpstr>'31'!Krydsningsmulighed</vt:lpstr>
      <vt:lpstr>'32'!Krydsningsmulighed</vt:lpstr>
      <vt:lpstr>'33'!Krydsningsmulighed</vt:lpstr>
      <vt:lpstr>'34'!Krydsningsmulighed</vt:lpstr>
      <vt:lpstr>'37'!Krydsningsmulighed</vt:lpstr>
      <vt:lpstr>'38'!Krydsningsmulighed</vt:lpstr>
      <vt:lpstr>'39'!Krydsningsmulighed</vt:lpstr>
      <vt:lpstr>'41'!Krydsningsmulighed</vt:lpstr>
      <vt:lpstr>'42'!Krydsningsmulighed</vt:lpstr>
      <vt:lpstr>'43'!Krydsningsmulighed</vt:lpstr>
      <vt:lpstr>'44'!Krydsningsmulighed</vt:lpstr>
      <vt:lpstr>'45'!Krydsningsmulighed</vt:lpstr>
      <vt:lpstr>'46'!Krydsningsmulighed</vt:lpstr>
      <vt:lpstr>'49'!Krydsningsmulighed</vt:lpstr>
      <vt:lpstr>'5'!Krydsningsmulighed</vt:lpstr>
      <vt:lpstr>'50'!Krydsningsmulighed</vt:lpstr>
      <vt:lpstr>'51'!Krydsningsmulighed</vt:lpstr>
      <vt:lpstr>'52'!Krydsningsmulighed</vt:lpstr>
      <vt:lpstr>'53'!Krydsningsmulighed</vt:lpstr>
      <vt:lpstr>'54'!Krydsningsmulighed</vt:lpstr>
      <vt:lpstr>'55'!Krydsningsmulighed</vt:lpstr>
      <vt:lpstr>'6'!Krydsningsmulighed</vt:lpstr>
      <vt:lpstr>'7'!Krydsningsmulighed</vt:lpstr>
      <vt:lpstr>'8'!Krydsningsmulighed</vt:lpstr>
      <vt:lpstr>'9'!Krydsningsmulighed</vt:lpstr>
      <vt:lpstr>Skabelon!Krydsningsmulighed</vt:lpstr>
      <vt:lpstr>'1'!Udskriftsområde</vt:lpstr>
      <vt:lpstr>'10'!Udskriftsområde</vt:lpstr>
      <vt:lpstr>'11'!Udskriftsområde</vt:lpstr>
      <vt:lpstr>'13'!Udskriftsområde</vt:lpstr>
      <vt:lpstr>'14'!Udskriftsområde</vt:lpstr>
      <vt:lpstr>'15'!Udskriftsområde</vt:lpstr>
      <vt:lpstr>'16'!Udskriftsområde</vt:lpstr>
      <vt:lpstr>'17'!Udskriftsområde</vt:lpstr>
      <vt:lpstr>'18'!Udskriftsområde</vt:lpstr>
      <vt:lpstr>'19'!Udskriftsområde</vt:lpstr>
      <vt:lpstr>'2'!Udskriftsområde</vt:lpstr>
      <vt:lpstr>'20'!Udskriftsområde</vt:lpstr>
      <vt:lpstr>'21'!Udskriftsområde</vt:lpstr>
      <vt:lpstr>'22'!Udskriftsområde</vt:lpstr>
      <vt:lpstr>'23'!Udskriftsområde</vt:lpstr>
      <vt:lpstr>'24'!Udskriftsområde</vt:lpstr>
      <vt:lpstr>'25'!Udskriftsområde</vt:lpstr>
      <vt:lpstr>'26'!Udskriftsområde</vt:lpstr>
      <vt:lpstr>'27'!Udskriftsområde</vt:lpstr>
      <vt:lpstr>'28'!Udskriftsområde</vt:lpstr>
      <vt:lpstr>'29'!Udskriftsområde</vt:lpstr>
      <vt:lpstr>'3'!Udskriftsområde</vt:lpstr>
      <vt:lpstr>'30'!Udskriftsområde</vt:lpstr>
      <vt:lpstr>'31'!Udskriftsområde</vt:lpstr>
      <vt:lpstr>'32'!Udskriftsområde</vt:lpstr>
      <vt:lpstr>'33'!Udskriftsområde</vt:lpstr>
      <vt:lpstr>'34'!Udskriftsområde</vt:lpstr>
      <vt:lpstr>'37'!Udskriftsområde</vt:lpstr>
      <vt:lpstr>'38'!Udskriftsområde</vt:lpstr>
      <vt:lpstr>'39'!Udskriftsområde</vt:lpstr>
      <vt:lpstr>'41'!Udskriftsområde</vt:lpstr>
      <vt:lpstr>'42'!Udskriftsområde</vt:lpstr>
      <vt:lpstr>'43'!Udskriftsområde</vt:lpstr>
      <vt:lpstr>'44'!Udskriftsområde</vt:lpstr>
      <vt:lpstr>'45'!Udskriftsområde</vt:lpstr>
      <vt:lpstr>'46'!Udskriftsområde</vt:lpstr>
      <vt:lpstr>'49'!Udskriftsområde</vt:lpstr>
      <vt:lpstr>'5'!Udskriftsområde</vt:lpstr>
      <vt:lpstr>'50'!Udskriftsområde</vt:lpstr>
      <vt:lpstr>'51'!Udskriftsområde</vt:lpstr>
      <vt:lpstr>'52'!Udskriftsområde</vt:lpstr>
      <vt:lpstr>'53'!Udskriftsområde</vt:lpstr>
      <vt:lpstr>'54'!Udskriftsområde</vt:lpstr>
      <vt:lpstr>'55'!Udskriftsområde</vt:lpstr>
      <vt:lpstr>'6'!Udskriftsområde</vt:lpstr>
      <vt:lpstr>'7'!Udskriftsområde</vt:lpstr>
      <vt:lpstr>'8'!Udskriftsområde</vt:lpstr>
      <vt:lpstr>'9'!Udskriftsområde</vt:lpstr>
      <vt:lpstr>Skabelon!Udskriftsområde</vt:lpstr>
    </vt:vector>
  </TitlesOfParts>
  <Company>COWI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Favrskov Kommune - Anlægsprioritering</dc:title>
  <dc:subject>Stiplan projekter</dc:subject>
  <dc:creator>Frank Studstrup</dc:creator>
  <cp:lastModifiedBy>Michelle Juhl</cp:lastModifiedBy>
  <cp:lastPrinted>2025-10-24T08:55:16Z</cp:lastPrinted>
  <dcterms:created xsi:type="dcterms:W3CDTF">2002-05-29T09:35:29Z</dcterms:created>
  <dcterms:modified xsi:type="dcterms:W3CDTF">2025-10-24T08:56:06Z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roject">
    <vt:lpwstr>61908</vt:lpwstr>
  </property>
  <property fmtid="{D5CDD505-2E9C-101B-9397-08002B2CF9AE}" pid="3" name="ContentTypeId">
    <vt:lpwstr>0x010100C4B5EC5F424DF0438C02C794499518FB</vt:lpwstr>
  </property>
  <property fmtid="{D5CDD505-2E9C-101B-9397-08002B2CF9AE}" pid="4" name="CowiTitle">
    <vt:lpwstr>Favrskov Kommune - Anlægsprioritering</vt:lpwstr>
  </property>
  <property fmtid="{D5CDD505-2E9C-101B-9397-08002B2CF9AE}" pid="5" name="CowiProjNo">
    <vt:lpwstr>A059633</vt:lpwstr>
  </property>
  <property fmtid="{D5CDD505-2E9C-101B-9397-08002B2CF9AE}" pid="6" name="CowiSubject">
    <vt:lpwstr>Stiplan projekter</vt:lpwstr>
  </property>
  <property fmtid="{D5CDD505-2E9C-101B-9397-08002B2CF9AE}" pid="7" name="Language">
    <vt:lpwstr>Danish</vt:lpwstr>
  </property>
  <property fmtid="{D5CDD505-2E9C-101B-9397-08002B2CF9AE}" pid="8" name="_NewReviewCycle">
    <vt:lpwstr/>
  </property>
</Properties>
</file>